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E57440E7-C635-477B-86D6-A2F8D40930E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Example 6.2 - Pipe P3" sheetId="1" r:id="rId1"/>
    <sheet name="Graph Data" sheetId="11" r:id="rId2"/>
  </sheets>
  <definedNames>
    <definedName name="A">'Example 6.2 - Pipe P3'!$C$23</definedName>
    <definedName name="c_1">'Example 6.2 - Pipe P3'!$C$118</definedName>
    <definedName name="c_2">'Example 6.2 - Pipe P3'!$C$160</definedName>
    <definedName name="cp">'Example 6.2 - Pipe P3'!$C$11</definedName>
    <definedName name="D">'Example 6.2 - Pipe P3'!$C$19</definedName>
    <definedName name="f">'Example 6.2 - Pipe P3'!$C$25</definedName>
    <definedName name="Gam">'Example 6.2 - Pipe P3'!$C$5</definedName>
    <definedName name="gc">'Example 6.2 - Pipe P3'!$C$6</definedName>
    <definedName name="h_1">'Example 6.2 - Pipe P3'!$C$126</definedName>
    <definedName name="h_2">'Example 6.2 - Pipe P3'!$C$158</definedName>
    <definedName name="ho_1">'Example 6.2 - Pipe P3'!$C$128</definedName>
    <definedName name="ho_2">'Example 6.2 - Pipe P3'!$C$139</definedName>
    <definedName name="L">'Example 6.2 - Pipe P3'!$C$15</definedName>
    <definedName name="M_1">'Example 6.2 - Pipe P3'!$C$79</definedName>
    <definedName name="M_2">'Example 6.2 - Pipe P3'!$C$58</definedName>
    <definedName name="M1x">'Example 6.2 - Pipe P3'!#REF!</definedName>
    <definedName name="M2x">'Example 6.2 - Pipe P3'!#REF!</definedName>
    <definedName name="mdot">'Example 6.2 - Pipe P3'!$C$37</definedName>
    <definedName name="P_1">'Example 6.2 - Pipe P3'!$C$109</definedName>
    <definedName name="P_2">'Example 6.2 - Pipe P3'!$C$145</definedName>
    <definedName name="Po_1">'Example 6.2 - Pipe P3'!$C$100</definedName>
    <definedName name="Po_2">'Example 6.2 - Pipe P3'!$C$46</definedName>
    <definedName name="Rg">'Example 6.2 - Pipe P3'!$C$3</definedName>
    <definedName name="rho_1">'Example 6.2 - Pipe P3'!$C$114</definedName>
    <definedName name="rho_2">'Example 6.2 - Pipe P3'!$C$153</definedName>
    <definedName name="solver_adj" localSheetId="0" hidden="1">'Example 6.2 - Pipe P3'!$C$79:$C$79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'Example 6.2 - Pipe P3'!$C$79</definedName>
    <definedName name="solver_lhs2" localSheetId="0" hidden="1">'Example 6.2 - Pipe P3'!$C$79</definedName>
    <definedName name="solver_lhs3" localSheetId="0" hidden="1">'Example 6.2 - Pipe P3'!$C$58</definedName>
    <definedName name="solver_lhs4" localSheetId="0" hidden="1">'Example 6.2 - Pipe P3'!$C$58</definedName>
    <definedName name="solver_lhs5" localSheetId="0" hidden="1">'Example 6.2 - Pipe P3'!$C$58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'Example 6.2 - Pipe P3'!#REF!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3</definedName>
    <definedName name="solver_rhs1" localSheetId="0" hidden="1">M_2</definedName>
    <definedName name="solver_rhs2" localSheetId="0" hidden="1">0</definedName>
    <definedName name="solver_rhs3" localSheetId="0" hidden="1">1</definedName>
    <definedName name="solver_rhs4" localSheetId="0" hidden="1">1</definedName>
    <definedName name="solver_rhs5" localSheetId="0" hidden="1">M_1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  <definedName name="T_1">'Example 6.2 - Pipe P3'!$C$111</definedName>
    <definedName name="T_2">'Example 6.2 - Pipe P3'!$C$147</definedName>
    <definedName name="To_1">'Example 6.2 - Pipe P3'!$C$41</definedName>
    <definedName name="To_2">'Example 6.2 - Pipe P3'!$C$50</definedName>
    <definedName name="V_1">'Example 6.2 - Pipe P3'!$C$116</definedName>
    <definedName name="V_2">'Example 6.2 - Pipe P3'!$C$155</definedName>
    <definedName name="Z">'Example 6.2 - Pipe P3'!$C$42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1" l="1"/>
  <c r="F3" i="11"/>
  <c r="F4" i="11" s="1"/>
  <c r="E3" i="11"/>
  <c r="F5" i="11" l="1"/>
  <c r="G4" i="11"/>
  <c r="G3" i="11"/>
  <c r="C100" i="1"/>
  <c r="J3" i="11" s="1"/>
  <c r="K3" i="11" s="1"/>
  <c r="G5" i="11" l="1"/>
  <c r="F6" i="11"/>
  <c r="C47" i="1"/>
  <c r="G6" i="11" l="1"/>
  <c r="F7" i="11"/>
  <c r="C101" i="1"/>
  <c r="C59" i="1"/>
  <c r="F8" i="11" l="1"/>
  <c r="G7" i="11"/>
  <c r="G8" i="11" l="1"/>
  <c r="F9" i="11"/>
  <c r="C85" i="1"/>
  <c r="F10" i="11" l="1"/>
  <c r="G9" i="11"/>
  <c r="B161" i="1"/>
  <c r="B159" i="1"/>
  <c r="B156" i="1"/>
  <c r="B154" i="1"/>
  <c r="B52" i="1"/>
  <c r="B47" i="1"/>
  <c r="B149" i="1"/>
  <c r="B146" i="1"/>
  <c r="B140" i="1"/>
  <c r="B129" i="1"/>
  <c r="B127" i="1"/>
  <c r="B119" i="1"/>
  <c r="B117" i="1"/>
  <c r="B115" i="1"/>
  <c r="B113" i="1"/>
  <c r="B110" i="1"/>
  <c r="G10" i="11" l="1"/>
  <c r="F11" i="11"/>
  <c r="C40" i="1"/>
  <c r="C18" i="1"/>
  <c r="C22" i="1" s="1"/>
  <c r="C21" i="1"/>
  <c r="C23" i="1" s="1"/>
  <c r="C19" i="1"/>
  <c r="C16" i="1"/>
  <c r="C12" i="1"/>
  <c r="C4" i="1"/>
  <c r="C41" i="1"/>
  <c r="P3" i="11" s="1"/>
  <c r="C109" i="1"/>
  <c r="H3" i="11" s="1"/>
  <c r="Q3" i="11" l="1"/>
  <c r="R3" i="11"/>
  <c r="P4" i="11"/>
  <c r="B12" i="11"/>
  <c r="B6" i="11"/>
  <c r="B17" i="11"/>
  <c r="B11" i="11"/>
  <c r="B5" i="11"/>
  <c r="B13" i="11"/>
  <c r="B14" i="11"/>
  <c r="B16" i="11"/>
  <c r="B10" i="11"/>
  <c r="B4" i="11"/>
  <c r="B8" i="11"/>
  <c r="B7" i="11"/>
  <c r="B3" i="11"/>
  <c r="B15" i="11"/>
  <c r="B9" i="11"/>
  <c r="I3" i="11"/>
  <c r="C12" i="11"/>
  <c r="C6" i="11"/>
  <c r="C5" i="11"/>
  <c r="D17" i="11"/>
  <c r="E17" i="11" s="1"/>
  <c r="C3" i="11"/>
  <c r="C16" i="11"/>
  <c r="C10" i="11"/>
  <c r="C4" i="11"/>
  <c r="C8" i="11"/>
  <c r="C7" i="11"/>
  <c r="C15" i="11"/>
  <c r="C9" i="11"/>
  <c r="C11" i="11"/>
  <c r="C13" i="11"/>
  <c r="C17" i="11"/>
  <c r="C14" i="11"/>
  <c r="D4" i="11"/>
  <c r="E4" i="11" s="1"/>
  <c r="D5" i="11"/>
  <c r="E5" i="11" s="1"/>
  <c r="D6" i="11"/>
  <c r="E6" i="11" s="1"/>
  <c r="D7" i="11"/>
  <c r="E7" i="11" s="1"/>
  <c r="D8" i="11"/>
  <c r="E8" i="11" s="1"/>
  <c r="D9" i="11"/>
  <c r="E9" i="11" s="1"/>
  <c r="D10" i="11"/>
  <c r="E10" i="11" s="1"/>
  <c r="D11" i="11"/>
  <c r="E11" i="11" s="1"/>
  <c r="G11" i="11"/>
  <c r="F12" i="11"/>
  <c r="C110" i="1"/>
  <c r="C50" i="1"/>
  <c r="C38" i="1"/>
  <c r="C111" i="1"/>
  <c r="L3" i="11" s="1"/>
  <c r="C20" i="1"/>
  <c r="C24" i="1" s="1"/>
  <c r="C83" i="1"/>
  <c r="C87" i="1" s="1"/>
  <c r="C145" i="1"/>
  <c r="C146" i="1" s="1"/>
  <c r="N3" i="11" l="1"/>
  <c r="M3" i="11"/>
  <c r="O3" i="11" s="1"/>
  <c r="J4" i="11"/>
  <c r="P5" i="11"/>
  <c r="L4" i="11"/>
  <c r="R4" i="11"/>
  <c r="Q4" i="11"/>
  <c r="S3" i="11"/>
  <c r="D12" i="11"/>
  <c r="E12" i="11" s="1"/>
  <c r="F13" i="11"/>
  <c r="G12" i="11"/>
  <c r="C112" i="1"/>
  <c r="C113" i="1" s="1"/>
  <c r="C114" i="1"/>
  <c r="T3" i="11" s="1"/>
  <c r="C126" i="1"/>
  <c r="C127" i="1" s="1"/>
  <c r="C147" i="1"/>
  <c r="Q5" i="11" l="1"/>
  <c r="S4" i="11"/>
  <c r="L5" i="11"/>
  <c r="R5" i="11"/>
  <c r="J5" i="11"/>
  <c r="P6" i="11"/>
  <c r="N4" i="11"/>
  <c r="M4" i="11"/>
  <c r="O4" i="11" s="1"/>
  <c r="H4" i="11"/>
  <c r="K4" i="11"/>
  <c r="U3" i="11"/>
  <c r="V3" i="11"/>
  <c r="D13" i="11"/>
  <c r="E13" i="11" s="1"/>
  <c r="G13" i="11"/>
  <c r="F14" i="11"/>
  <c r="C115" i="1"/>
  <c r="C51" i="1"/>
  <c r="C52" i="1" s="1"/>
  <c r="C61" i="1"/>
  <c r="C64" i="1" s="1"/>
  <c r="C153" i="1"/>
  <c r="C154" i="1" s="1"/>
  <c r="C148" i="1"/>
  <c r="C149" i="1" s="1"/>
  <c r="H5" i="11" l="1"/>
  <c r="K5" i="11"/>
  <c r="J6" i="11"/>
  <c r="L6" i="11"/>
  <c r="R6" i="11"/>
  <c r="P7" i="11"/>
  <c r="W3" i="11"/>
  <c r="X3" i="11"/>
  <c r="Y3" i="11" s="1"/>
  <c r="I4" i="11"/>
  <c r="T4" i="11"/>
  <c r="U4" i="11" s="1"/>
  <c r="N5" i="11"/>
  <c r="M5" i="11"/>
  <c r="O5" i="11" s="1"/>
  <c r="Q6" i="11"/>
  <c r="S5" i="11"/>
  <c r="D14" i="11"/>
  <c r="E14" i="11" s="1"/>
  <c r="F15" i="11"/>
  <c r="G14" i="11"/>
  <c r="C155" i="1"/>
  <c r="C160" i="1" s="1"/>
  <c r="C161" i="1" s="1"/>
  <c r="C116" i="1"/>
  <c r="C118" i="1" s="1"/>
  <c r="C119" i="1" s="1"/>
  <c r="C62" i="1"/>
  <c r="V4" i="11" l="1"/>
  <c r="W4" i="11" s="1"/>
  <c r="J7" i="11"/>
  <c r="P8" i="11"/>
  <c r="L7" i="11"/>
  <c r="R7" i="11"/>
  <c r="N6" i="11"/>
  <c r="M6" i="11"/>
  <c r="O6" i="11" s="1"/>
  <c r="H6" i="11"/>
  <c r="K6" i="11"/>
  <c r="Q7" i="11"/>
  <c r="S6" i="11"/>
  <c r="I5" i="11"/>
  <c r="T5" i="11"/>
  <c r="U5" i="11" s="1"/>
  <c r="D15" i="11"/>
  <c r="E15" i="11" s="1"/>
  <c r="G15" i="11"/>
  <c r="F16" i="11"/>
  <c r="C156" i="1"/>
  <c r="C128" i="1"/>
  <c r="C129" i="1" s="1"/>
  <c r="C117" i="1"/>
  <c r="V5" i="11" l="1"/>
  <c r="W5" i="11" s="1"/>
  <c r="X4" i="11"/>
  <c r="Y4" i="11" s="1"/>
  <c r="Q8" i="11"/>
  <c r="S7" i="11"/>
  <c r="I6" i="11"/>
  <c r="T6" i="11"/>
  <c r="U6" i="11" s="1"/>
  <c r="K7" i="11"/>
  <c r="H7" i="11"/>
  <c r="M7" i="11"/>
  <c r="O7" i="11" s="1"/>
  <c r="N7" i="11"/>
  <c r="J8" i="11"/>
  <c r="L8" i="11"/>
  <c r="P9" i="11"/>
  <c r="R8" i="11"/>
  <c r="X5" i="11"/>
  <c r="Y5" i="11" s="1"/>
  <c r="D16" i="11"/>
  <c r="E16" i="11" s="1"/>
  <c r="G16" i="11"/>
  <c r="C139" i="1"/>
  <c r="C158" i="1" s="1"/>
  <c r="C159" i="1" s="1"/>
  <c r="V6" i="11" l="1"/>
  <c r="M8" i="11"/>
  <c r="O8" i="11" s="1"/>
  <c r="N8" i="11"/>
  <c r="P10" i="11"/>
  <c r="L9" i="11"/>
  <c r="J9" i="11"/>
  <c r="R9" i="11"/>
  <c r="K8" i="11"/>
  <c r="H8" i="11"/>
  <c r="I7" i="11"/>
  <c r="T7" i="11"/>
  <c r="U7" i="11" s="1"/>
  <c r="W6" i="11"/>
  <c r="X6" i="11"/>
  <c r="Y6" i="11" s="1"/>
  <c r="Q9" i="11"/>
  <c r="S8" i="11"/>
  <c r="C140" i="1"/>
  <c r="V7" i="11" l="1"/>
  <c r="W7" i="11" s="1"/>
  <c r="I8" i="11"/>
  <c r="T8" i="11"/>
  <c r="U8" i="11" s="1"/>
  <c r="N9" i="11"/>
  <c r="M9" i="11"/>
  <c r="O9" i="11" s="1"/>
  <c r="K9" i="11"/>
  <c r="H9" i="11"/>
  <c r="L10" i="11"/>
  <c r="J10" i="11"/>
  <c r="P11" i="11"/>
  <c r="R10" i="11"/>
  <c r="Q10" i="11"/>
  <c r="S9" i="11"/>
  <c r="X7" i="11" l="1"/>
  <c r="Y7" i="11" s="1"/>
  <c r="H10" i="11"/>
  <c r="K10" i="11"/>
  <c r="L11" i="11"/>
  <c r="R11" i="11"/>
  <c r="J11" i="11"/>
  <c r="P12" i="11"/>
  <c r="N10" i="11"/>
  <c r="M10" i="11"/>
  <c r="O10" i="11" s="1"/>
  <c r="V8" i="11"/>
  <c r="Q11" i="11"/>
  <c r="S10" i="11"/>
  <c r="I9" i="11"/>
  <c r="T9" i="11"/>
  <c r="U9" i="11" s="1"/>
  <c r="V9" i="11" l="1"/>
  <c r="Q12" i="11"/>
  <c r="S11" i="11"/>
  <c r="L12" i="11"/>
  <c r="J12" i="11"/>
  <c r="R12" i="11"/>
  <c r="P13" i="11"/>
  <c r="W9" i="11"/>
  <c r="X9" i="11"/>
  <c r="Y9" i="11" s="1"/>
  <c r="X8" i="11"/>
  <c r="Y8" i="11" s="1"/>
  <c r="W8" i="11"/>
  <c r="K11" i="11"/>
  <c r="H11" i="11"/>
  <c r="N11" i="11"/>
  <c r="M11" i="11"/>
  <c r="O11" i="11" s="1"/>
  <c r="T10" i="11"/>
  <c r="U10" i="11" s="1"/>
  <c r="I10" i="11"/>
  <c r="V10" i="11" l="1"/>
  <c r="X10" i="11"/>
  <c r="Y10" i="11" s="1"/>
  <c r="W10" i="11"/>
  <c r="I11" i="11"/>
  <c r="T11" i="11"/>
  <c r="U11" i="11" s="1"/>
  <c r="J13" i="11"/>
  <c r="P14" i="11"/>
  <c r="R13" i="11"/>
  <c r="L13" i="11"/>
  <c r="K12" i="11"/>
  <c r="H12" i="11"/>
  <c r="N12" i="11"/>
  <c r="M12" i="11"/>
  <c r="O12" i="11" s="1"/>
  <c r="Q13" i="11"/>
  <c r="S12" i="11"/>
  <c r="V11" i="11" l="1"/>
  <c r="L14" i="11"/>
  <c r="P15" i="11"/>
  <c r="R14" i="11"/>
  <c r="J14" i="11"/>
  <c r="N13" i="11"/>
  <c r="M13" i="11"/>
  <c r="O13" i="11" s="1"/>
  <c r="W11" i="11"/>
  <c r="X11" i="11"/>
  <c r="Y11" i="11" s="1"/>
  <c r="I12" i="11"/>
  <c r="T12" i="11"/>
  <c r="U12" i="11" s="1"/>
  <c r="K13" i="11"/>
  <c r="H13" i="11"/>
  <c r="Q14" i="11"/>
  <c r="S13" i="11"/>
  <c r="Q15" i="11" l="1"/>
  <c r="S14" i="11"/>
  <c r="J15" i="11"/>
  <c r="R15" i="11"/>
  <c r="L15" i="11"/>
  <c r="P16" i="11"/>
  <c r="V12" i="11"/>
  <c r="H14" i="11"/>
  <c r="K14" i="11"/>
  <c r="I13" i="11"/>
  <c r="T13" i="11"/>
  <c r="U13" i="11" s="1"/>
  <c r="N14" i="11"/>
  <c r="M14" i="11"/>
  <c r="O14" i="11" s="1"/>
  <c r="T14" i="11" l="1"/>
  <c r="U14" i="11" s="1"/>
  <c r="I14" i="11"/>
  <c r="V14" i="11"/>
  <c r="J16" i="11"/>
  <c r="P17" i="11"/>
  <c r="R16" i="11"/>
  <c r="L16" i="11"/>
  <c r="W12" i="11"/>
  <c r="X12" i="11"/>
  <c r="Y12" i="11" s="1"/>
  <c r="N15" i="11"/>
  <c r="M15" i="11"/>
  <c r="O15" i="11" s="1"/>
  <c r="V13" i="11"/>
  <c r="K15" i="11"/>
  <c r="H15" i="11"/>
  <c r="Q16" i="11"/>
  <c r="S15" i="11"/>
  <c r="Q17" i="11" l="1"/>
  <c r="S17" i="11" s="1"/>
  <c r="S16" i="11"/>
  <c r="W13" i="11"/>
  <c r="X13" i="11"/>
  <c r="Y13" i="11" s="1"/>
  <c r="M16" i="11"/>
  <c r="O16" i="11" s="1"/>
  <c r="N16" i="11"/>
  <c r="K16" i="11"/>
  <c r="H16" i="11"/>
  <c r="T15" i="11"/>
  <c r="U15" i="11" s="1"/>
  <c r="I15" i="11"/>
  <c r="R17" i="11"/>
  <c r="L17" i="11"/>
  <c r="J17" i="11"/>
  <c r="W14" i="11"/>
  <c r="X14" i="11"/>
  <c r="Y14" i="11" s="1"/>
  <c r="V15" i="11" l="1"/>
  <c r="T16" i="11"/>
  <c r="U16" i="11" s="1"/>
  <c r="I16" i="11"/>
  <c r="K17" i="11"/>
  <c r="H17" i="11"/>
  <c r="N17" i="11"/>
  <c r="M17" i="11"/>
  <c r="O17" i="11" s="1"/>
  <c r="V16" i="11" l="1"/>
  <c r="T17" i="11"/>
  <c r="U17" i="11" s="1"/>
  <c r="I17" i="11"/>
  <c r="X16" i="11"/>
  <c r="Y16" i="11" s="1"/>
  <c r="W16" i="11"/>
  <c r="W15" i="11"/>
  <c r="X15" i="11"/>
  <c r="Y15" i="11" s="1"/>
  <c r="V17" i="11" l="1"/>
  <c r="X17" i="11"/>
  <c r="Y17" i="11" s="1"/>
  <c r="W17" i="11"/>
</calcChain>
</file>

<file path=xl/sharedStrings.xml><?xml version="1.0" encoding="utf-8"?>
<sst xmlns="http://schemas.openxmlformats.org/spreadsheetml/2006/main" count="208" uniqueCount="118">
  <si>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</si>
  <si>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</si>
  <si>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</si>
  <si>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</si>
  <si>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</si>
  <si>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</si>
  <si>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</si>
  <si>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</si>
  <si>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</si>
  <si>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</si>
  <si>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</si>
  <si>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</si>
  <si>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</si>
  <si>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</si>
  <si>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</si>
  <si>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</si>
  <si>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</si>
  <si>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</si>
  <si>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</si>
  <si>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</si>
  <si>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f(M)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</si>
  <si>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</si>
  <si>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</si>
  <si>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</si>
  <si>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</si>
  <si>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</si>
  <si>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</si>
  <si>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</si>
  <si>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</si>
  <si>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</si>
  <si>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</si>
  <si>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</si>
  <si>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</si>
  <si>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</si>
  <si>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</si>
  <si>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</si>
  <si>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</si>
  <si>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</si>
  <si>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Po1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</si>
  <si>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</si>
  <si>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</si>
  <si>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</si>
  <si>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</si>
  <si>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</si>
  <si>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</si>
  <si>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</si>
  <si>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</si>
  <si>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</si>
  <si>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</si>
  <si>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</si>
  <si>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</si>
  <si>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</si>
  <si>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</si>
  <si>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</si>
  <si>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</si>
  <si>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</si>
  <si>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</si>
  <si>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</si>
  <si>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</si>
  <si>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</si>
  <si>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</si>
  <si>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Heat Conversion</t>
  </si>
  <si>
    <t>Convert Btu to lbf-ft</t>
  </si>
  <si>
    <t>Weight-Mass conversion</t>
  </si>
  <si>
    <t>cm</t>
  </si>
  <si>
    <t>sq cm</t>
  </si>
  <si>
    <t>sq m</t>
  </si>
  <si>
    <t>c</t>
  </si>
  <si>
    <t>T</t>
  </si>
  <si>
    <t>kPa</t>
  </si>
  <si>
    <t>kJ/kg</t>
  </si>
  <si>
    <t>kg/s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</si>
  <si>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</si>
  <si>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</si>
  <si>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</si>
  <si>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</si>
  <si>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</si>
  <si>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</si>
  <si>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</si>
  <si>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</si>
  <si>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</si>
  <si>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</si>
  <si>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</si>
  <si>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</si>
  <si>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</si>
  <si>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</si>
  <si>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</si>
  <si>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</si>
  <si>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</si>
  <si>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</si>
  <si>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Actual</t>
  </si>
  <si>
    <t>1. Flow is adiabatic and horizontal - stagnation enthalpy is constant - also if gas is calorically perfect then stagnation temperature is also constant</t>
  </si>
  <si>
    <t>EQUATION 1</t>
  </si>
  <si>
    <t>EQUATION 2</t>
  </si>
  <si>
    <t>Using current M1 and M2 in Eq. 1</t>
  </si>
  <si>
    <t xml:space="preserve">fL/D </t>
  </si>
  <si>
    <t>(RHS of Eq 1)</t>
  </si>
  <si>
    <t>based on M2</t>
  </si>
  <si>
    <t>mdot differrence</t>
  </si>
  <si>
    <t>mdot based on M2</t>
  </si>
  <si>
    <t>1. First, we know that To2 = To1 since the flow is adiabatic and air is acting as a calorically perfect gas</t>
  </si>
  <si>
    <t>2. Therefore, once we know Po_2 and To_2 we can solve for M2 by goal seeking</t>
  </si>
  <si>
    <t>3. Now that we know M2, we can solve for M1 from the fL/D Eqn 1</t>
  </si>
  <si>
    <t xml:space="preserve">fL/D difference </t>
  </si>
  <si>
    <t>4. Solve for Po1 from Eqn 2</t>
  </si>
  <si>
    <t>5. One the above is solved, we can find everything else with fundamental relationships</t>
  </si>
  <si>
    <t>x</t>
  </si>
  <si>
    <t>M</t>
  </si>
  <si>
    <t>P</t>
  </si>
  <si>
    <t>Po</t>
  </si>
  <si>
    <t>To</t>
  </si>
  <si>
    <t>rho</t>
  </si>
  <si>
    <t>V</t>
  </si>
  <si>
    <t>(lbm-R/lbf-ft)^0.5</t>
  </si>
  <si>
    <t>K</t>
  </si>
  <si>
    <t>lbm/ft</t>
  </si>
  <si>
    <t>D/f</t>
  </si>
  <si>
    <t>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</si>
</sst>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2" borderId="0" xfId="0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2" fillId="0" borderId="0" xfId="0" applyFont="1"/>
    <xf numFmtId="0" fontId="2" fillId="0" borderId="4" xfId="0" applyFont="1" applyBorder="1"/>
    <xf numFmtId="0" fontId="0" fillId="0" borderId="4" xfId="0" applyBorder="1" applyAlignment="1">
      <alignment horizontal="left"/>
    </xf>
    <xf numFmtId="2" fontId="0" fillId="3" borderId="0" xfId="0" applyNumberFormat="1" applyFill="1"/>
    <xf numFmtId="166" fontId="0" fillId="3" borderId="0" xfId="0" applyNumberFormat="1" applyFill="1"/>
    <xf numFmtId="0" fontId="1" fillId="5" borderId="9" xfId="0" applyFont="1" applyFill="1" applyBorder="1"/>
    <xf numFmtId="0" fontId="1" fillId="5" borderId="10" xfId="0" applyFont="1" applyFill="1" applyBorder="1"/>
    <xf numFmtId="0" fontId="4" fillId="0" borderId="4" xfId="0" applyFont="1" applyBorder="1"/>
    <xf numFmtId="165" fontId="0" fillId="5" borderId="0" xfId="0" applyNumberFormat="1" applyFill="1"/>
    <xf numFmtId="166" fontId="0" fillId="6" borderId="0" xfId="0" applyNumberFormat="1" applyFill="1"/>
    <xf numFmtId="0" fontId="1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152</xdr:row>
          <xdr:rowOff>152400</xdr:rowOff>
        </xdr:from>
        <xdr:to>
          <xdr:col>6</xdr:col>
          <xdr:colOff>457200</xdr:colOff>
          <xdr:row>154</xdr:row>
          <xdr:rowOff>57150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6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581025</xdr:colOff>
          <xdr:row>147</xdr:row>
          <xdr:rowOff>38100</xdr:rowOff>
        </xdr:from>
        <xdr:to>
          <xdr:col>8</xdr:col>
          <xdr:colOff>171450</xdr:colOff>
          <xdr:row>151</xdr:row>
          <xdr:rowOff>57150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6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561975</xdr:colOff>
          <xdr:row>142</xdr:row>
          <xdr:rowOff>57150</xdr:rowOff>
        </xdr:from>
        <xdr:to>
          <xdr:col>9</xdr:col>
          <xdr:colOff>152400</xdr:colOff>
          <xdr:row>146</xdr:row>
          <xdr:rowOff>133350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6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466725</xdr:colOff>
      <xdr:row>81</xdr:row>
      <xdr:rowOff>66675</xdr:rowOff>
    </xdr:from>
    <xdr:to>
      <xdr:col>14</xdr:col>
      <xdr:colOff>303503</xdr:colOff>
      <xdr:row>86</xdr:row>
      <xdr:rowOff>127979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6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542925</xdr:colOff>
          <xdr:row>61</xdr:row>
          <xdr:rowOff>85725</xdr:rowOff>
        </xdr:from>
        <xdr:to>
          <xdr:col>7</xdr:col>
          <xdr:colOff>504825</xdr:colOff>
          <xdr:row>65</xdr:row>
          <xdr:rowOff>9525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6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571500</xdr:colOff>
      <xdr:row>60</xdr:row>
      <xdr:rowOff>133350</xdr:rowOff>
    </xdr:from>
    <xdr:to>
      <xdr:col>5</xdr:col>
      <xdr:colOff>28575</xdr:colOff>
      <xdr:row>62</xdr:row>
      <xdr:rowOff>57150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/>
      </xdr:nvCxnSpPr>
      <xdr:spPr>
        <a:xfrm>
          <a:off x="3067050" y="11591925"/>
          <a:ext cx="1047750" cy="3048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108</xdr:row>
      <xdr:rowOff>95250</xdr:rowOff>
    </xdr:from>
    <xdr:to>
      <xdr:col>5</xdr:col>
      <xdr:colOff>104775</xdr:colOff>
      <xdr:row>109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CxnSpPr/>
      </xdr:nvCxnSpPr>
      <xdr:spPr>
        <a:xfrm>
          <a:off x="2914650" y="10791825"/>
          <a:ext cx="1276350" cy="952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110</xdr:row>
      <xdr:rowOff>114300</xdr:rowOff>
    </xdr:from>
    <xdr:to>
      <xdr:col>5</xdr:col>
      <xdr:colOff>161925</xdr:colOff>
      <xdr:row>114</xdr:row>
      <xdr:rowOff>14287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CxnSpPr/>
      </xdr:nvCxnSpPr>
      <xdr:spPr>
        <a:xfrm>
          <a:off x="2800350" y="11191875"/>
          <a:ext cx="1447800" cy="661987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552450</xdr:colOff>
      <xdr:row>113</xdr:row>
      <xdr:rowOff>123825</xdr:rowOff>
    </xdr:from>
    <xdr:to>
      <xdr:col>5</xdr:col>
      <xdr:colOff>152400</xdr:colOff>
      <xdr:row>116</xdr:row>
      <xdr:rowOff>114300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CxnSpPr/>
      </xdr:nvCxnSpPr>
      <xdr:spPr>
        <a:xfrm>
          <a:off x="3048000" y="11772900"/>
          <a:ext cx="1190625" cy="561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438150</xdr:colOff>
      <xdr:row>115</xdr:row>
      <xdr:rowOff>114300</xdr:rowOff>
    </xdr:from>
    <xdr:to>
      <xdr:col>5</xdr:col>
      <xdr:colOff>161925</xdr:colOff>
      <xdr:row>118</xdr:row>
      <xdr:rowOff>142875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CxnSpPr/>
      </xdr:nvCxnSpPr>
      <xdr:spPr>
        <a:xfrm>
          <a:off x="2933700" y="12144375"/>
          <a:ext cx="1314450" cy="600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117</xdr:row>
      <xdr:rowOff>133350</xdr:rowOff>
    </xdr:from>
    <xdr:to>
      <xdr:col>5</xdr:col>
      <xdr:colOff>190500</xdr:colOff>
      <xdr:row>121</xdr:row>
      <xdr:rowOff>95918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CxnSpPr>
          <a:endCxn id="4" idx="1"/>
        </xdr:cNvCxnSpPr>
      </xdr:nvCxnSpPr>
      <xdr:spPr>
        <a:xfrm>
          <a:off x="2752725" y="12544425"/>
          <a:ext cx="1524000" cy="72456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127</xdr:row>
      <xdr:rowOff>142875</xdr:rowOff>
    </xdr:from>
    <xdr:to>
      <xdr:col>5</xdr:col>
      <xdr:colOff>209550</xdr:colOff>
      <xdr:row>128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127</xdr:row>
      <xdr:rowOff>85725</xdr:rowOff>
    </xdr:from>
    <xdr:to>
      <xdr:col>2</xdr:col>
      <xdr:colOff>247651</xdr:colOff>
      <xdr:row>138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144</xdr:row>
      <xdr:rowOff>114300</xdr:rowOff>
    </xdr:from>
    <xdr:to>
      <xdr:col>4</xdr:col>
      <xdr:colOff>552450</xdr:colOff>
      <xdr:row>145</xdr:row>
      <xdr:rowOff>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CxnSpPr/>
      </xdr:nvCxnSpPr>
      <xdr:spPr>
        <a:xfrm>
          <a:off x="2667000" y="17678400"/>
          <a:ext cx="1076325" cy="762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146</xdr:row>
      <xdr:rowOff>104775</xdr:rowOff>
    </xdr:from>
    <xdr:to>
      <xdr:col>4</xdr:col>
      <xdr:colOff>571500</xdr:colOff>
      <xdr:row>149</xdr:row>
      <xdr:rowOff>0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CxnSpPr/>
      </xdr:nvCxnSpPr>
      <xdr:spPr>
        <a:xfrm>
          <a:off x="2752725" y="22440900"/>
          <a:ext cx="1295400" cy="5715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152</xdr:row>
      <xdr:rowOff>123826</xdr:rowOff>
    </xdr:from>
    <xdr:to>
      <xdr:col>4</xdr:col>
      <xdr:colOff>571500</xdr:colOff>
      <xdr:row>153</xdr:row>
      <xdr:rowOff>133350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CxnSpPr/>
      </xdr:nvCxnSpPr>
      <xdr:spPr>
        <a:xfrm>
          <a:off x="3086102" y="29356051"/>
          <a:ext cx="962023" cy="200024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154</xdr:row>
      <xdr:rowOff>95254</xdr:rowOff>
    </xdr:from>
    <xdr:to>
      <xdr:col>4</xdr:col>
      <xdr:colOff>581025</xdr:colOff>
      <xdr:row>155</xdr:row>
      <xdr:rowOff>180975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CxnSpPr/>
      </xdr:nvCxnSpPr>
      <xdr:spPr>
        <a:xfrm>
          <a:off x="2819403" y="29708479"/>
          <a:ext cx="1238247" cy="27622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157</xdr:row>
      <xdr:rowOff>104777</xdr:rowOff>
    </xdr:from>
    <xdr:to>
      <xdr:col>4</xdr:col>
      <xdr:colOff>600075</xdr:colOff>
      <xdr:row>158</xdr:row>
      <xdr:rowOff>38100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CxnSpPr/>
      </xdr:nvCxnSpPr>
      <xdr:spPr>
        <a:xfrm>
          <a:off x="3076577" y="30289502"/>
          <a:ext cx="1000123" cy="12382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228600</xdr:colOff>
          <xdr:row>56</xdr:row>
          <xdr:rowOff>28575</xdr:rowOff>
        </xdr:from>
        <xdr:to>
          <xdr:col>12</xdr:col>
          <xdr:colOff>381000</xdr:colOff>
          <xdr:row>60</xdr:row>
          <xdr:rowOff>9525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6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126</xdr:row>
          <xdr:rowOff>114300</xdr:rowOff>
        </xdr:from>
        <xdr:to>
          <xdr:col>7</xdr:col>
          <xdr:colOff>285750</xdr:colOff>
          <xdr:row>130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6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171450</xdr:colOff>
          <xdr:row>116</xdr:row>
          <xdr:rowOff>19050</xdr:rowOff>
        </xdr:from>
        <xdr:to>
          <xdr:col>7</xdr:col>
          <xdr:colOff>38100</xdr:colOff>
          <xdr:row>117</xdr:row>
          <xdr:rowOff>114300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6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119</xdr:row>
          <xdr:rowOff>180975</xdr:rowOff>
        </xdr:from>
        <xdr:to>
          <xdr:col>9</xdr:col>
          <xdr:colOff>104775</xdr:colOff>
          <xdr:row>123</xdr:row>
          <xdr:rowOff>104775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6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107</xdr:row>
          <xdr:rowOff>76200</xdr:rowOff>
        </xdr:from>
        <xdr:to>
          <xdr:col>9</xdr:col>
          <xdr:colOff>352425</xdr:colOff>
          <xdr:row>112</xdr:row>
          <xdr:rowOff>19050</xdr:rowOff>
        </xdr:to>
        <xdr:sp macro="" textlink="">
          <xdr:nvSpPr>
            <xdr:cNvPr id="1039" name="Object 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6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161925</xdr:colOff>
          <xdr:row>112</xdr:row>
          <xdr:rowOff>85725</xdr:rowOff>
        </xdr:from>
        <xdr:to>
          <xdr:col>8</xdr:col>
          <xdr:colOff>247650</xdr:colOff>
          <xdr:row>115</xdr:row>
          <xdr:rowOff>133350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6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190500</xdr:colOff>
          <xdr:row>118</xdr:row>
          <xdr:rowOff>0</xdr:rowOff>
        </xdr:from>
        <xdr:to>
          <xdr:col>6</xdr:col>
          <xdr:colOff>552450</xdr:colOff>
          <xdr:row>119</xdr:row>
          <xdr:rowOff>95250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6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600075</xdr:colOff>
          <xdr:row>155</xdr:row>
          <xdr:rowOff>19050</xdr:rowOff>
        </xdr:from>
        <xdr:to>
          <xdr:col>6</xdr:col>
          <xdr:colOff>352425</xdr:colOff>
          <xdr:row>156</xdr:row>
          <xdr:rowOff>114300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6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157</xdr:row>
          <xdr:rowOff>57150</xdr:rowOff>
        </xdr:from>
        <xdr:to>
          <xdr:col>7</xdr:col>
          <xdr:colOff>38100</xdr:colOff>
          <xdr:row>161</xdr:row>
          <xdr:rowOff>9525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6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190500</xdr:colOff>
      <xdr:row>119</xdr:row>
      <xdr:rowOff>171450</xdr:rowOff>
    </xdr:from>
    <xdr:to>
      <xdr:col>6</xdr:col>
      <xdr:colOff>472234</xdr:colOff>
      <xdr:row>123</xdr:row>
      <xdr:rowOff>20386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9525</xdr:colOff>
      <xdr:row>161</xdr:row>
      <xdr:rowOff>142875</xdr:rowOff>
    </xdr:from>
    <xdr:to>
      <xdr:col>6</xdr:col>
      <xdr:colOff>291259</xdr:colOff>
      <xdr:row>164</xdr:row>
      <xdr:rowOff>182311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357245</xdr:colOff>
      <xdr:row>25</xdr:row>
      <xdr:rowOff>161830</xdr:rowOff>
    </xdr:from>
    <xdr:to>
      <xdr:col>5</xdr:col>
      <xdr:colOff>99459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7245" y="4943380"/>
          <a:ext cx="382843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276225</xdr:colOff>
      <xdr:row>159</xdr:row>
      <xdr:rowOff>161925</xdr:rowOff>
    </xdr:from>
    <xdr:to>
      <xdr:col>5</xdr:col>
      <xdr:colOff>9525</xdr:colOff>
      <xdr:row>163</xdr:row>
      <xdr:rowOff>67343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CxnSpPr>
          <a:endCxn id="5" idx="1"/>
        </xdr:cNvCxnSpPr>
      </xdr:nvCxnSpPr>
      <xdr:spPr>
        <a:xfrm>
          <a:off x="2771775" y="30727650"/>
          <a:ext cx="1323975" cy="66741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84</xdr:row>
      <xdr:rowOff>180975</xdr:rowOff>
    </xdr:from>
    <xdr:to>
      <xdr:col>4</xdr:col>
      <xdr:colOff>571500</xdr:colOff>
      <xdr:row>85</xdr:row>
      <xdr:rowOff>152400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CxnSpPr/>
      </xdr:nvCxnSpPr>
      <xdr:spPr>
        <a:xfrm>
          <a:off x="2514600" y="14706600"/>
          <a:ext cx="1533525" cy="1619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857250</xdr:colOff>
      <xdr:row>58</xdr:row>
      <xdr:rowOff>19050</xdr:rowOff>
    </xdr:from>
    <xdr:to>
      <xdr:col>5</xdr:col>
      <xdr:colOff>228600</xdr:colOff>
      <xdr:row>58</xdr:row>
      <xdr:rowOff>123825</xdr:rowOff>
    </xdr:to>
    <xdr:cxnSp macro="">
      <xdr:nvCxnSpPr>
        <xdr:cNvPr id="42" name="Straight Connector 41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CxnSpPr/>
      </xdr:nvCxnSpPr>
      <xdr:spPr>
        <a:xfrm flipV="1">
          <a:off x="3352800" y="10906125"/>
          <a:ext cx="962025" cy="1047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47625</xdr:colOff>
      <xdr:row>98</xdr:row>
      <xdr:rowOff>76200</xdr:rowOff>
    </xdr:from>
    <xdr:to>
      <xdr:col>11</xdr:col>
      <xdr:colOff>548151</xdr:colOff>
      <xdr:row>104</xdr:row>
      <xdr:rowOff>21511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Object 40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4133850" y="18811875"/>
              <a:ext cx="4158126" cy="108831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e>
                          <m:sub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</m:t>
                            </m:r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,2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e>
                          <m:sub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</m:t>
                            </m:r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,1</m:t>
                            </m:r>
                          </m:sub>
                        </m:sSub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8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8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2</m:t>
                            </m:r>
                          </m:sub>
                        </m:sSub>
                      </m:den>
                    </m:f>
                    <m:sSup>
                      <m:sSup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num>
                              <m:den>
                                <m: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1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den>
                            </m:f>
                          </m:e>
                        </m:d>
                      </m:e>
                      <m:sup>
                        <m:f>
                          <m:fPr>
                            <m:type m:val="lin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+1</m:t>
                                </m:r>
                              </m:e>
                            </m:d>
                          </m:num>
                          <m:den>
                            <m:d>
                              <m:dPr>
                                <m:begChr m:val="["/>
                                <m:endChr m:val="]"/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  <m:d>
                                  <m:d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−1</m:t>
                                    </m:r>
                                  </m:e>
                                </m:d>
                              </m:e>
                            </m:d>
                          </m:den>
                        </m:f>
                      </m:sup>
                    </m:sSup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2" name="Object 40">
              <a:extLst>
                <a:ext uri="{FF2B5EF4-FFF2-40B4-BE49-F238E27FC236}">
                  <a16:creationId xmlns:a16="http://schemas.microsoft.com/office/drawing/2014/main" id="{A43F6421-7C8A-7314-DCD5-FEFD0223F678}"/>
                </a:ext>
              </a:extLst>
            </xdr:cNvPr>
            <xdr:cNvSpPr txBox="1"/>
          </xdr:nvSpPr>
          <xdr:spPr>
            <a:xfrm>
              <a:off x="4133850" y="18811875"/>
              <a:ext cx="4158126" cy="108831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𝑃_(𝑜,2)/𝑃_(𝑜,1) 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=</a:t>
              </a:r>
              <a:r>
                <a:rPr lang="en-US" sz="18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𝑀_1/𝑀_2 </a:t>
              </a:r>
              <a:r>
                <a:rPr lang="en-US" sz="1800" b="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18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𝑀_2〗^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)/(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18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)^((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𝛾+1)∕[2(𝛾−1)] )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>
    <xdr:from>
      <xdr:col>3</xdr:col>
      <xdr:colOff>371475</xdr:colOff>
      <xdr:row>99</xdr:row>
      <xdr:rowOff>123825</xdr:rowOff>
    </xdr:from>
    <xdr:to>
      <xdr:col>5</xdr:col>
      <xdr:colOff>47625</xdr:colOff>
      <xdr:row>101</xdr:row>
      <xdr:rowOff>48856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CxnSpPr>
          <a:endCxn id="2" idx="1"/>
        </xdr:cNvCxnSpPr>
      </xdr:nvCxnSpPr>
      <xdr:spPr>
        <a:xfrm>
          <a:off x="2867025" y="19050000"/>
          <a:ext cx="1266825" cy="30603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161925</xdr:colOff>
      <xdr:row>64</xdr:row>
      <xdr:rowOff>66675</xdr:rowOff>
    </xdr:from>
    <xdr:to>
      <xdr:col>4</xdr:col>
      <xdr:colOff>428374</xdr:colOff>
      <xdr:row>71</xdr:row>
      <xdr:rowOff>123651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95475" y="12287250"/>
          <a:ext cx="2009524" cy="1390476"/>
        </a:xfrm>
        <a:prstGeom prst="rect">
          <a:avLst/>
        </a:prstGeom>
      </xdr:spPr>
    </xdr:pic>
    <xdr:clientData/>
  </xdr:twoCellAnchor>
  <xdr:twoCellAnchor editAs="oneCell">
    <xdr:from>
      <xdr:col>2</xdr:col>
      <xdr:colOff>257175</xdr:colOff>
      <xdr:row>87</xdr:row>
      <xdr:rowOff>114300</xdr:rowOff>
    </xdr:from>
    <xdr:to>
      <xdr:col>4</xdr:col>
      <xdr:colOff>523624</xdr:colOff>
      <xdr:row>94</xdr:row>
      <xdr:rowOff>171276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90725" y="16735425"/>
          <a:ext cx="2009524" cy="13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oleObject" Target="../embeddings/oleObject6.bin"/><Relationship Id="rId18" Type="http://schemas.openxmlformats.org/officeDocument/2006/relationships/image" Target="../media/image7.emf"/><Relationship Id="rId26" Type="http://schemas.openxmlformats.org/officeDocument/2006/relationships/image" Target="../media/image10.emf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0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8.bin"/><Relationship Id="rId25" Type="http://schemas.openxmlformats.org/officeDocument/2006/relationships/oleObject" Target="../embeddings/oleObject13.bin"/><Relationship Id="rId2" Type="http://schemas.openxmlformats.org/officeDocument/2006/relationships/drawing" Target="../drawings/drawing1.xml"/><Relationship Id="rId16" Type="http://schemas.openxmlformats.org/officeDocument/2006/relationships/image" Target="../media/image6.emf"/><Relationship Id="rId20" Type="http://schemas.openxmlformats.org/officeDocument/2006/relationships/image" Target="../media/image8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image" Target="../media/image9.emf"/><Relationship Id="rId5" Type="http://schemas.openxmlformats.org/officeDocument/2006/relationships/image" Target="../media/image1.emf"/><Relationship Id="rId15" Type="http://schemas.openxmlformats.org/officeDocument/2006/relationships/oleObject" Target="../embeddings/oleObject7.bin"/><Relationship Id="rId23" Type="http://schemas.openxmlformats.org/officeDocument/2006/relationships/oleObject" Target="../embeddings/oleObject12.bin"/><Relationship Id="rId10" Type="http://schemas.openxmlformats.org/officeDocument/2006/relationships/oleObject" Target="../embeddings/oleObject4.bin"/><Relationship Id="rId19" Type="http://schemas.openxmlformats.org/officeDocument/2006/relationships/oleObject" Target="../embeddings/oleObject9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image" Target="../media/image5.emf"/><Relationship Id="rId22" Type="http://schemas.openxmlformats.org/officeDocument/2006/relationships/oleObject" Target="../embeddings/oleObject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67"/>
  <sheetViews>
    <sheetView tabSelected="1" workbookViewId="0">
      <selection activeCell="I3" sqref="I3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83</v>
      </c>
      <c r="C2" s="23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56</v>
      </c>
      <c r="G3" s="4"/>
    </row>
    <row r="4" spans="2:7" x14ac:dyDescent="0.25">
      <c r="B4" s="24" t="s">
        <v>3</v>
      </c>
      <c r="C4" s="5">
        <f>Rg*2.20462*1.8/737.562</f>
        <v>0.2870559540052226</v>
      </c>
      <c r="D4" t="s">
        <v>57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59</v>
      </c>
      <c r="C6">
        <v>32.173999999999999</v>
      </c>
      <c r="D6" t="s">
        <v>8</v>
      </c>
      <c r="E6" t="s">
        <v>63</v>
      </c>
      <c r="G6" s="4"/>
    </row>
    <row r="7" spans="2:7" x14ac:dyDescent="0.25">
      <c r="B7" s="24" t="s">
        <v>59</v>
      </c>
      <c r="C7">
        <v>1</v>
      </c>
      <c r="D7" t="s">
        <v>80</v>
      </c>
      <c r="G7" s="4"/>
    </row>
    <row r="8" spans="2:7" x14ac:dyDescent="0.25">
      <c r="B8" s="3" t="s">
        <v>30</v>
      </c>
      <c r="C8">
        <v>459.67</v>
      </c>
      <c r="D8" t="s">
        <v>27</v>
      </c>
      <c r="E8" t="s">
        <v>28</v>
      </c>
      <c r="G8" s="4"/>
    </row>
    <row r="9" spans="2:7" x14ac:dyDescent="0.25">
      <c r="B9" s="24" t="s">
        <v>30</v>
      </c>
      <c r="C9">
        <v>273.14999999999998</v>
      </c>
      <c r="D9" t="s">
        <v>81</v>
      </c>
      <c r="E9" t="s">
        <v>60</v>
      </c>
      <c r="G9" s="4"/>
    </row>
    <row r="10" spans="2:7" x14ac:dyDescent="0.25">
      <c r="B10" s="3" t="s">
        <v>61</v>
      </c>
      <c r="C10">
        <v>778.17</v>
      </c>
      <c r="D10" t="s">
        <v>31</v>
      </c>
      <c r="E10" t="s">
        <v>62</v>
      </c>
      <c r="G10" s="4"/>
    </row>
    <row r="11" spans="2:7" x14ac:dyDescent="0.25">
      <c r="B11" s="3" t="s">
        <v>72</v>
      </c>
      <c r="C11">
        <v>0.245</v>
      </c>
      <c r="D11" t="s">
        <v>73</v>
      </c>
      <c r="E11" t="s">
        <v>74</v>
      </c>
      <c r="G11" s="4"/>
    </row>
    <row r="12" spans="2:7" x14ac:dyDescent="0.25">
      <c r="B12" s="24" t="s">
        <v>72</v>
      </c>
      <c r="C12" s="10">
        <f>cp*4.18396</f>
        <v>1.0250702</v>
      </c>
      <c r="D12" t="s">
        <v>57</v>
      </c>
      <c r="G12" s="4"/>
    </row>
    <row r="13" spans="2:7" x14ac:dyDescent="0.25">
      <c r="B13" s="3"/>
      <c r="G13" s="4"/>
    </row>
    <row r="14" spans="2:7" x14ac:dyDescent="0.25">
      <c r="B14" s="22" t="s">
        <v>82</v>
      </c>
      <c r="C14" s="20"/>
      <c r="G14" s="4"/>
    </row>
    <row r="15" spans="2:7" x14ac:dyDescent="0.25">
      <c r="B15" s="3" t="s">
        <v>33</v>
      </c>
      <c r="C15">
        <v>25</v>
      </c>
      <c r="D15" t="s">
        <v>15</v>
      </c>
      <c r="E15" t="s">
        <v>34</v>
      </c>
      <c r="G15" s="4"/>
    </row>
    <row r="16" spans="2:7" x14ac:dyDescent="0.25">
      <c r="B16" s="24" t="s">
        <v>33</v>
      </c>
      <c r="C16" s="11">
        <f>L/3.28084</f>
        <v>7.6199997561600075</v>
      </c>
      <c r="D16" t="s">
        <v>58</v>
      </c>
      <c r="G16" s="4"/>
    </row>
    <row r="17" spans="2:7" x14ac:dyDescent="0.25">
      <c r="B17" s="3" t="s">
        <v>12</v>
      </c>
      <c r="C17">
        <v>4</v>
      </c>
      <c r="D17" t="s">
        <v>13</v>
      </c>
      <c r="E17" t="s">
        <v>14</v>
      </c>
      <c r="G17" s="4"/>
    </row>
    <row r="18" spans="2:7" x14ac:dyDescent="0.25">
      <c r="B18" s="24" t="s">
        <v>12</v>
      </c>
      <c r="C18">
        <f>C17*2.54</f>
        <v>10.16</v>
      </c>
      <c r="D18" t="s">
        <v>64</v>
      </c>
      <c r="G18" s="4"/>
    </row>
    <row r="19" spans="2:7" x14ac:dyDescent="0.25">
      <c r="B19" s="3" t="s">
        <v>12</v>
      </c>
      <c r="C19" s="10">
        <f>C17/12</f>
        <v>0.33333333333333331</v>
      </c>
      <c r="D19" t="s">
        <v>15</v>
      </c>
      <c r="E19" t="s">
        <v>14</v>
      </c>
      <c r="G19" s="4"/>
    </row>
    <row r="20" spans="2:7" x14ac:dyDescent="0.25">
      <c r="B20" s="24" t="s">
        <v>12</v>
      </c>
      <c r="C20" s="9">
        <f>D/3.28</f>
        <v>0.1016260162601626</v>
      </c>
      <c r="D20" t="s">
        <v>58</v>
      </c>
      <c r="G20" s="4"/>
    </row>
    <row r="21" spans="2:7" x14ac:dyDescent="0.25">
      <c r="B21" s="3" t="s">
        <v>16</v>
      </c>
      <c r="C21" s="10">
        <f>PI()/4*C17^2</f>
        <v>12.566370614359172</v>
      </c>
      <c r="D21" t="s">
        <v>18</v>
      </c>
      <c r="E21" t="s">
        <v>17</v>
      </c>
      <c r="G21" s="4"/>
    </row>
    <row r="22" spans="2:7" x14ac:dyDescent="0.25">
      <c r="B22" s="24" t="s">
        <v>16</v>
      </c>
      <c r="C22" s="10">
        <f>PI()/4*C18^2</f>
        <v>81.073196655599631</v>
      </c>
      <c r="D22" t="s">
        <v>65</v>
      </c>
      <c r="G22" s="4"/>
    </row>
    <row r="23" spans="2:7" x14ac:dyDescent="0.25">
      <c r="B23" s="3" t="s">
        <v>16</v>
      </c>
      <c r="C23" s="9">
        <f>C21/144</f>
        <v>8.7266462599716474E-2</v>
      </c>
      <c r="D23" t="s">
        <v>19</v>
      </c>
      <c r="E23" t="s">
        <v>17</v>
      </c>
      <c r="G23" s="4"/>
    </row>
    <row r="24" spans="2:7" x14ac:dyDescent="0.25">
      <c r="B24" s="24" t="s">
        <v>16</v>
      </c>
      <c r="C24" s="5">
        <f>PI()/4*C20^2</f>
        <v>8.1114722077368813E-3</v>
      </c>
      <c r="D24" t="s">
        <v>66</v>
      </c>
      <c r="G24" s="4"/>
    </row>
    <row r="25" spans="2:7" ht="15.75" thickBot="1" x14ac:dyDescent="0.3">
      <c r="B25" s="6" t="s">
        <v>35</v>
      </c>
      <c r="C25" s="7">
        <v>1.6E-2</v>
      </c>
      <c r="D25" s="16" t="s">
        <v>6</v>
      </c>
      <c r="E25" s="7" t="s">
        <v>89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27" t="s">
        <v>9</v>
      </c>
      <c r="C37" s="29">
        <v>26.399289474278024</v>
      </c>
      <c r="D37" t="s">
        <v>11</v>
      </c>
      <c r="E37" t="s">
        <v>10</v>
      </c>
      <c r="I37" s="11"/>
      <c r="P37" s="4"/>
    </row>
    <row r="38" spans="2:16" x14ac:dyDescent="0.25">
      <c r="B38" s="24" t="s">
        <v>9</v>
      </c>
      <c r="C38" s="11">
        <f>mdot*0.45359</f>
        <v>11.97445371263777</v>
      </c>
      <c r="D38" t="s">
        <v>71</v>
      </c>
      <c r="P38" s="4"/>
    </row>
    <row r="39" spans="2:16" x14ac:dyDescent="0.25">
      <c r="B39" s="3" t="s">
        <v>39</v>
      </c>
      <c r="C39" s="15">
        <v>200</v>
      </c>
      <c r="D39" t="s">
        <v>2</v>
      </c>
      <c r="P39" s="4"/>
    </row>
    <row r="40" spans="2:16" x14ac:dyDescent="0.25">
      <c r="B40" s="24" t="s">
        <v>39</v>
      </c>
      <c r="C40" s="21">
        <f>(C39+459.67)/1.8-273.15</f>
        <v>93.333333333333371</v>
      </c>
      <c r="D40" t="s">
        <v>84</v>
      </c>
      <c r="P40" s="4"/>
    </row>
    <row r="41" spans="2:16" x14ac:dyDescent="0.25">
      <c r="B41" s="3" t="s">
        <v>39</v>
      </c>
      <c r="C41">
        <f>C39+C8</f>
        <v>659.67000000000007</v>
      </c>
      <c r="D41" t="s">
        <v>21</v>
      </c>
      <c r="E41" t="s">
        <v>22</v>
      </c>
      <c r="P41" s="4"/>
    </row>
    <row r="42" spans="2:16" x14ac:dyDescent="0.25">
      <c r="B42" s="3" t="s">
        <v>23</v>
      </c>
      <c r="C42" s="15">
        <v>1</v>
      </c>
      <c r="D42" t="s">
        <v>79</v>
      </c>
      <c r="P42" s="4"/>
    </row>
    <row r="43" spans="2:16" x14ac:dyDescent="0.25">
      <c r="B43" s="3"/>
      <c r="P43" s="4"/>
    </row>
    <row r="44" spans="2:16" x14ac:dyDescent="0.25">
      <c r="B44" s="3"/>
      <c r="P44" s="4"/>
    </row>
    <row r="45" spans="2:16" x14ac:dyDescent="0.25">
      <c r="B45" s="22" t="s">
        <v>24</v>
      </c>
      <c r="P45" s="4"/>
    </row>
    <row r="46" spans="2:16" x14ac:dyDescent="0.25">
      <c r="B46" s="3" t="s">
        <v>51</v>
      </c>
      <c r="C46" s="28">
        <v>125</v>
      </c>
      <c r="D46" t="s">
        <v>1</v>
      </c>
      <c r="P46" s="4"/>
    </row>
    <row r="47" spans="2:16" x14ac:dyDescent="0.25">
      <c r="B47" s="24" t="str">
        <f>B46</f>
        <v>Po2</v>
      </c>
      <c r="C47" s="21">
        <f>Po_2*6.89476</f>
        <v>861.84500000000003</v>
      </c>
      <c r="D47" t="s">
        <v>69</v>
      </c>
      <c r="P47" s="4"/>
    </row>
    <row r="48" spans="2:16" x14ac:dyDescent="0.25">
      <c r="B48" s="24"/>
      <c r="C48" s="21"/>
      <c r="P48" s="4"/>
    </row>
    <row r="49" spans="2:16" x14ac:dyDescent="0.25">
      <c r="B49" s="32" t="s">
        <v>100</v>
      </c>
      <c r="P49" s="4"/>
    </row>
    <row r="50" spans="2:16" x14ac:dyDescent="0.25">
      <c r="B50" s="3" t="s">
        <v>52</v>
      </c>
      <c r="C50" s="11">
        <f>To_1</f>
        <v>659.67000000000007</v>
      </c>
      <c r="D50" t="s">
        <v>21</v>
      </c>
      <c r="P50" s="4"/>
    </row>
    <row r="51" spans="2:16" x14ac:dyDescent="0.25">
      <c r="B51" s="3" t="s">
        <v>52</v>
      </c>
      <c r="C51" s="11">
        <f>C50-C8</f>
        <v>200.00000000000006</v>
      </c>
      <c r="D51" t="s">
        <v>2</v>
      </c>
      <c r="J51" s="19"/>
      <c r="P51" s="4"/>
    </row>
    <row r="52" spans="2:16" x14ac:dyDescent="0.25">
      <c r="B52" s="24" t="str">
        <f>B51</f>
        <v>To2</v>
      </c>
      <c r="C52" s="21">
        <f>(C51+459.67)/1.8-273.15</f>
        <v>93.333333333333371</v>
      </c>
      <c r="D52" t="s">
        <v>84</v>
      </c>
      <c r="P52" s="4"/>
    </row>
    <row r="53" spans="2:16" x14ac:dyDescent="0.25">
      <c r="B53" s="3"/>
      <c r="P53" s="4"/>
    </row>
    <row r="54" spans="2:16" x14ac:dyDescent="0.25">
      <c r="B54" s="3"/>
      <c r="P54" s="4"/>
    </row>
    <row r="55" spans="2:16" x14ac:dyDescent="0.25">
      <c r="B55" s="32" t="s">
        <v>101</v>
      </c>
      <c r="P55" s="4"/>
    </row>
    <row r="56" spans="2:16" x14ac:dyDescent="0.25">
      <c r="B56" s="3"/>
      <c r="P56" s="4"/>
    </row>
    <row r="57" spans="2:16" x14ac:dyDescent="0.25">
      <c r="B57" s="3"/>
      <c r="P57" s="4"/>
    </row>
    <row r="58" spans="2:16" x14ac:dyDescent="0.25">
      <c r="B58" s="3" t="s">
        <v>37</v>
      </c>
      <c r="C58" s="14">
        <v>0.56598805855852674</v>
      </c>
      <c r="D58" s="15" t="s">
        <v>75</v>
      </c>
      <c r="E58" s="15"/>
      <c r="P58" s="4"/>
    </row>
    <row r="59" spans="2:16" x14ac:dyDescent="0.25">
      <c r="B59" s="3" t="s">
        <v>20</v>
      </c>
      <c r="C59">
        <f>(Gam/Z/Rg)^0.5*M_2*(1+M_2^2*(Gam-1)/2)^(-(Gam+1)/2/(Gam-1))</f>
        <v>7.6099728585336937E-2</v>
      </c>
      <c r="D59" t="s">
        <v>97</v>
      </c>
      <c r="P59" s="4"/>
    </row>
    <row r="60" spans="2:16" x14ac:dyDescent="0.25">
      <c r="B60" s="3"/>
      <c r="P60" s="4"/>
    </row>
    <row r="61" spans="2:16" x14ac:dyDescent="0.25">
      <c r="B61" s="3" t="s">
        <v>99</v>
      </c>
      <c r="C61" s="34">
        <f>(Po_2/To_2^0.5)*gc^0.5*144*A*C59</f>
        <v>26.399283908138457</v>
      </c>
      <c r="D61" t="s">
        <v>11</v>
      </c>
      <c r="P61" s="4"/>
    </row>
    <row r="62" spans="2:16" x14ac:dyDescent="0.25">
      <c r="B62" s="24" t="s">
        <v>9</v>
      </c>
      <c r="C62" s="11">
        <f>mdot*0.45359</f>
        <v>11.97445371263777</v>
      </c>
      <c r="D62" t="s">
        <v>71</v>
      </c>
      <c r="I62" s="11"/>
      <c r="P62" s="4"/>
    </row>
    <row r="63" spans="2:16" x14ac:dyDescent="0.25">
      <c r="B63" s="26"/>
      <c r="C63" s="5"/>
      <c r="D63" s="25"/>
      <c r="P63" s="4"/>
    </row>
    <row r="64" spans="2:16" x14ac:dyDescent="0.25">
      <c r="B64" s="26" t="s">
        <v>98</v>
      </c>
      <c r="C64" s="33">
        <f>C61-mdot</f>
        <v>-5.5661395670369984E-6</v>
      </c>
      <c r="D64" s="25" t="s">
        <v>76</v>
      </c>
      <c r="P64" s="4"/>
    </row>
    <row r="65" spans="2:16" x14ac:dyDescent="0.25">
      <c r="B65" s="3"/>
      <c r="P65" s="4"/>
    </row>
    <row r="66" spans="2:16" x14ac:dyDescent="0.25">
      <c r="B66" s="3"/>
      <c r="P66" s="4"/>
    </row>
    <row r="67" spans="2:16" x14ac:dyDescent="0.25">
      <c r="B67" s="3"/>
      <c r="P67" s="4"/>
    </row>
    <row r="68" spans="2:16" x14ac:dyDescent="0.25">
      <c r="B68" s="3"/>
      <c r="P68" s="4"/>
    </row>
    <row r="69" spans="2:16" x14ac:dyDescent="0.25">
      <c r="B69" s="3"/>
      <c r="P69" s="4"/>
    </row>
    <row r="70" spans="2:16" x14ac:dyDescent="0.25">
      <c r="B70" s="3"/>
      <c r="P70" s="4"/>
    </row>
    <row r="71" spans="2:16" x14ac:dyDescent="0.25">
      <c r="B71" s="3"/>
      <c r="P71" s="4"/>
    </row>
    <row r="72" spans="2:16" x14ac:dyDescent="0.25">
      <c r="B72" s="3"/>
      <c r="P72" s="4"/>
    </row>
    <row r="73" spans="2:16" x14ac:dyDescent="0.25">
      <c r="B73" s="3"/>
      <c r="P73" s="4"/>
    </row>
    <row r="74" spans="2:16" x14ac:dyDescent="0.25">
      <c r="B74" s="3"/>
      <c r="P74" s="4"/>
    </row>
    <row r="75" spans="2:16" x14ac:dyDescent="0.25">
      <c r="B75" s="3"/>
      <c r="P75" s="4"/>
    </row>
    <row r="76" spans="2:16" x14ac:dyDescent="0.25">
      <c r="B76" s="32" t="s">
        <v>102</v>
      </c>
      <c r="P76" s="4"/>
    </row>
    <row r="77" spans="2:16" x14ac:dyDescent="0.25">
      <c r="B77" s="3"/>
      <c r="P77" s="4"/>
    </row>
    <row r="78" spans="2:16" x14ac:dyDescent="0.25">
      <c r="B78" s="3"/>
      <c r="P78" s="4"/>
    </row>
    <row r="79" spans="2:16" x14ac:dyDescent="0.25">
      <c r="B79" s="3" t="s">
        <v>40</v>
      </c>
      <c r="C79" s="14">
        <v>0.42889137877760247</v>
      </c>
      <c r="D79" s="15" t="s">
        <v>75</v>
      </c>
      <c r="E79" s="15"/>
      <c r="P79" s="4"/>
    </row>
    <row r="80" spans="2:16" ht="15.75" thickBot="1" x14ac:dyDescent="0.3">
      <c r="B80" s="3"/>
      <c r="P80" s="4"/>
    </row>
    <row r="81" spans="2:16" ht="15.75" thickBot="1" x14ac:dyDescent="0.3">
      <c r="B81" s="3"/>
      <c r="E81" s="30" t="s">
        <v>92</v>
      </c>
      <c r="F81" s="31"/>
      <c r="P81" s="4"/>
    </row>
    <row r="82" spans="2:16" x14ac:dyDescent="0.25">
      <c r="B82" s="3"/>
      <c r="P82" s="4"/>
    </row>
    <row r="83" spans="2:16" x14ac:dyDescent="0.25">
      <c r="B83" s="3" t="s">
        <v>36</v>
      </c>
      <c r="C83" s="18">
        <f>f*L/D</f>
        <v>1.2000000000000002</v>
      </c>
      <c r="D83" t="s">
        <v>90</v>
      </c>
      <c r="P83" s="4"/>
    </row>
    <row r="84" spans="2:16" x14ac:dyDescent="0.25">
      <c r="B84" s="26" t="s">
        <v>94</v>
      </c>
      <c r="P84" s="4"/>
    </row>
    <row r="85" spans="2:16" x14ac:dyDescent="0.25">
      <c r="B85" s="3" t="s">
        <v>95</v>
      </c>
      <c r="C85" s="18">
        <f>1/Gam*(1/M_1^2-1/M_2^2)+(Gam+1)/2/Gam*LN((M_1^2/M_2^2)*(1+M_2^2*(Gam-1)/2)/(1+M_1^2*(Gam-1)/2))</f>
        <v>1.2001029001308572</v>
      </c>
      <c r="D85" t="s">
        <v>96</v>
      </c>
      <c r="P85" s="4"/>
    </row>
    <row r="86" spans="2:16" x14ac:dyDescent="0.25">
      <c r="B86" s="26"/>
      <c r="C86" s="25"/>
      <c r="D86" s="25"/>
      <c r="P86" s="4"/>
    </row>
    <row r="87" spans="2:16" x14ac:dyDescent="0.25">
      <c r="B87" s="26" t="s">
        <v>103</v>
      </c>
      <c r="C87" s="33">
        <f>C83-C85</f>
        <v>-1.0290013085700878E-4</v>
      </c>
      <c r="D87" s="25" t="s">
        <v>76</v>
      </c>
      <c r="P87" s="4"/>
    </row>
    <row r="88" spans="2:16" x14ac:dyDescent="0.25">
      <c r="B88" s="3"/>
      <c r="P88" s="4"/>
    </row>
    <row r="89" spans="2:16" x14ac:dyDescent="0.25">
      <c r="B89" s="3"/>
      <c r="P89" s="4"/>
    </row>
    <row r="90" spans="2:16" x14ac:dyDescent="0.25">
      <c r="B90" s="3"/>
      <c r="P90" s="4"/>
    </row>
    <row r="91" spans="2:16" x14ac:dyDescent="0.25">
      <c r="B91" s="3"/>
      <c r="P91" s="4"/>
    </row>
    <row r="92" spans="2:16" x14ac:dyDescent="0.25">
      <c r="B92" s="3"/>
      <c r="P92" s="4"/>
    </row>
    <row r="93" spans="2:16" x14ac:dyDescent="0.25">
      <c r="B93" s="3"/>
      <c r="P93" s="4"/>
    </row>
    <row r="94" spans="2:16" x14ac:dyDescent="0.25">
      <c r="B94" s="3"/>
      <c r="P94" s="4"/>
    </row>
    <row r="95" spans="2:16" x14ac:dyDescent="0.25">
      <c r="B95" s="3"/>
      <c r="P95" s="4"/>
    </row>
    <row r="96" spans="2:16" x14ac:dyDescent="0.25">
      <c r="B96" s="3"/>
      <c r="P96" s="4"/>
    </row>
    <row r="97" spans="2:16" ht="15.75" thickBot="1" x14ac:dyDescent="0.3">
      <c r="B97" s="32" t="s">
        <v>104</v>
      </c>
      <c r="P97" s="4"/>
    </row>
    <row r="98" spans="2:16" ht="15.75" thickBot="1" x14ac:dyDescent="0.3">
      <c r="B98" s="3"/>
      <c r="E98" s="30" t="s">
        <v>93</v>
      </c>
      <c r="F98" s="31"/>
      <c r="P98" s="4"/>
    </row>
    <row r="99" spans="2:16" x14ac:dyDescent="0.25">
      <c r="B99" s="26"/>
      <c r="C99" s="10"/>
      <c r="D99" s="25"/>
      <c r="P99" s="4"/>
    </row>
    <row r="100" spans="2:16" x14ac:dyDescent="0.25">
      <c r="B100" s="3" t="s">
        <v>38</v>
      </c>
      <c r="C100" s="11">
        <f>Po_2*(M_2*(1+M_2^2*(Gam-1)/2)^(-(Gam+1)/2/(Gam-1)))/(M_1*(1+M_1^2*(Gam-1)/2)^(-(Gam+1)/2/(Gam-1)))</f>
        <v>152.59245444042216</v>
      </c>
      <c r="D100" t="s">
        <v>1</v>
      </c>
      <c r="P100" s="4"/>
    </row>
    <row r="101" spans="2:16" x14ac:dyDescent="0.25">
      <c r="B101" s="24" t="s">
        <v>38</v>
      </c>
      <c r="C101" s="21">
        <f>Po_1*6.89476</f>
        <v>1052.0883511776451</v>
      </c>
      <c r="D101" t="s">
        <v>69</v>
      </c>
      <c r="P101" s="4"/>
    </row>
    <row r="102" spans="2:16" x14ac:dyDescent="0.25">
      <c r="B102" s="26"/>
      <c r="C102" s="5"/>
      <c r="D102" s="25"/>
      <c r="P102" s="4"/>
    </row>
    <row r="103" spans="2:16" x14ac:dyDescent="0.25">
      <c r="B103" s="26"/>
      <c r="C103" s="5"/>
      <c r="D103" s="25"/>
      <c r="P103" s="4"/>
    </row>
    <row r="104" spans="2:16" x14ac:dyDescent="0.25">
      <c r="B104" s="26"/>
      <c r="C104" s="5"/>
      <c r="D104" s="25"/>
      <c r="P104" s="4"/>
    </row>
    <row r="105" spans="2:16" x14ac:dyDescent="0.25">
      <c r="B105" s="26"/>
      <c r="C105" s="5"/>
      <c r="D105" s="25"/>
      <c r="P105" s="4"/>
    </row>
    <row r="106" spans="2:16" x14ac:dyDescent="0.25">
      <c r="B106" s="32" t="s">
        <v>105</v>
      </c>
      <c r="C106" s="5"/>
      <c r="D106" s="25"/>
      <c r="P106" s="4"/>
    </row>
    <row r="107" spans="2:16" x14ac:dyDescent="0.25">
      <c r="B107" s="26"/>
      <c r="C107" s="5"/>
      <c r="D107" s="25"/>
      <c r="P107" s="4"/>
    </row>
    <row r="108" spans="2:16" x14ac:dyDescent="0.25">
      <c r="B108" s="3"/>
      <c r="P108" s="4"/>
    </row>
    <row r="109" spans="2:16" x14ac:dyDescent="0.25">
      <c r="B109" s="3" t="s">
        <v>41</v>
      </c>
      <c r="C109" s="10">
        <f>Po_1/(1+M_1^2*(Gam-1)/2)^(Gam/(Gam-1))</f>
        <v>134.46705718702663</v>
      </c>
      <c r="D109" t="s">
        <v>1</v>
      </c>
      <c r="P109" s="4"/>
    </row>
    <row r="110" spans="2:16" x14ac:dyDescent="0.25">
      <c r="B110" s="24" t="str">
        <f>B109</f>
        <v>P1</v>
      </c>
      <c r="C110" s="21">
        <f>P_1*6.89476</f>
        <v>927.11808721082366</v>
      </c>
      <c r="D110" t="s">
        <v>69</v>
      </c>
      <c r="P110" s="4"/>
    </row>
    <row r="111" spans="2:16" x14ac:dyDescent="0.25">
      <c r="B111" s="3" t="s">
        <v>42</v>
      </c>
      <c r="C111" s="10">
        <f>To_1/(1+M_1^2*(Gam-1)/2)</f>
        <v>636.26219202860023</v>
      </c>
      <c r="D111" t="s">
        <v>21</v>
      </c>
      <c r="P111" s="4"/>
    </row>
    <row r="112" spans="2:16" x14ac:dyDescent="0.25">
      <c r="B112" s="3" t="s">
        <v>42</v>
      </c>
      <c r="C112" s="10">
        <f>C111-C8</f>
        <v>176.59219202860021</v>
      </c>
      <c r="D112" t="s">
        <v>2</v>
      </c>
      <c r="P112" s="4"/>
    </row>
    <row r="113" spans="2:16" x14ac:dyDescent="0.25">
      <c r="B113" s="24" t="str">
        <f>B112</f>
        <v>T1</v>
      </c>
      <c r="C113" s="21">
        <f>(C112+459.67)/1.8-273.15</f>
        <v>80.32899557144458</v>
      </c>
      <c r="D113" t="s">
        <v>84</v>
      </c>
      <c r="P113" s="4"/>
    </row>
    <row r="114" spans="2:16" x14ac:dyDescent="0.25">
      <c r="B114" s="3" t="s">
        <v>43</v>
      </c>
      <c r="C114" s="10">
        <f>P_1*144/Z/Rg/T_1</f>
        <v>0.57040514042431545</v>
      </c>
      <c r="D114" t="s">
        <v>26</v>
      </c>
      <c r="P114" s="4"/>
    </row>
    <row r="115" spans="2:16" x14ac:dyDescent="0.25">
      <c r="B115" s="24" t="str">
        <f>B114</f>
        <v>rho1</v>
      </c>
      <c r="C115" s="21">
        <f>rho_1*16.01846</f>
        <v>9.1370119256812803</v>
      </c>
      <c r="D115" t="s">
        <v>85</v>
      </c>
      <c r="P115" s="4"/>
    </row>
    <row r="116" spans="2:16" x14ac:dyDescent="0.25">
      <c r="B116" s="3" t="s">
        <v>44</v>
      </c>
      <c r="C116" s="11">
        <f>mdot/rho_1/A</f>
        <v>530.3486107769271</v>
      </c>
      <c r="D116" t="s">
        <v>25</v>
      </c>
      <c r="P116" s="4"/>
    </row>
    <row r="117" spans="2:16" x14ac:dyDescent="0.25">
      <c r="B117" s="24" t="str">
        <f>B116</f>
        <v>V1</v>
      </c>
      <c r="C117" s="21">
        <f>V_1/3.28</f>
        <v>161.69164962711193</v>
      </c>
      <c r="D117" t="s">
        <v>86</v>
      </c>
      <c r="P117" s="4"/>
    </row>
    <row r="118" spans="2:16" x14ac:dyDescent="0.25">
      <c r="B118" s="3" t="s">
        <v>77</v>
      </c>
      <c r="C118" s="11">
        <f>V_1/M_1</f>
        <v>1236.5569396346723</v>
      </c>
      <c r="D118" t="s">
        <v>32</v>
      </c>
      <c r="P118" s="4"/>
    </row>
    <row r="119" spans="2:16" x14ac:dyDescent="0.25">
      <c r="B119" s="24" t="str">
        <f>B118</f>
        <v>c1</v>
      </c>
      <c r="C119" s="21">
        <f>c_1/3.28</f>
        <v>376.99906696179033</v>
      </c>
      <c r="D119" t="s">
        <v>87</v>
      </c>
      <c r="P119" s="4"/>
    </row>
    <row r="120" spans="2:16" x14ac:dyDescent="0.25">
      <c r="B120" s="3"/>
      <c r="P120" s="4"/>
    </row>
    <row r="121" spans="2:16" x14ac:dyDescent="0.25">
      <c r="B121" s="3"/>
      <c r="P121" s="4"/>
    </row>
    <row r="122" spans="2:16" x14ac:dyDescent="0.25">
      <c r="B122" s="3"/>
      <c r="P122" s="4"/>
    </row>
    <row r="123" spans="2:16" x14ac:dyDescent="0.25">
      <c r="B123" s="3"/>
      <c r="P123" s="4"/>
    </row>
    <row r="124" spans="2:16" x14ac:dyDescent="0.25">
      <c r="B124" s="3"/>
      <c r="P124" s="4"/>
    </row>
    <row r="125" spans="2:16" x14ac:dyDescent="0.25">
      <c r="B125" s="3"/>
      <c r="P125" s="4"/>
    </row>
    <row r="126" spans="2:16" x14ac:dyDescent="0.25">
      <c r="B126" s="3" t="s">
        <v>45</v>
      </c>
      <c r="C126" s="10">
        <f>cp*(T_1)</f>
        <v>155.88423704700705</v>
      </c>
      <c r="D126" t="s">
        <v>29</v>
      </c>
      <c r="E126" s="12" t="s">
        <v>88</v>
      </c>
      <c r="P126" s="4"/>
    </row>
    <row r="127" spans="2:16" x14ac:dyDescent="0.25">
      <c r="B127" s="24" t="str">
        <f>B126</f>
        <v>h1</v>
      </c>
      <c r="C127" s="21">
        <f>h_1*2.32442</f>
        <v>362.34043827680409</v>
      </c>
      <c r="D127" t="s">
        <v>70</v>
      </c>
      <c r="E127" s="12"/>
      <c r="P127" s="4"/>
    </row>
    <row r="128" spans="2:16" x14ac:dyDescent="0.25">
      <c r="B128" s="3" t="s">
        <v>46</v>
      </c>
      <c r="C128" s="10">
        <f>h_1+0.5*V_1^2/C10/gc</f>
        <v>161.50135229004354</v>
      </c>
      <c r="D128" t="s">
        <v>29</v>
      </c>
      <c r="P128" s="4"/>
    </row>
    <row r="129" spans="2:16" x14ac:dyDescent="0.25">
      <c r="B129" s="24" t="str">
        <f>B128</f>
        <v>ho1</v>
      </c>
      <c r="C129" s="21">
        <f>ho_1*2.32442</f>
        <v>375.39697329002297</v>
      </c>
      <c r="D129" t="s">
        <v>70</v>
      </c>
      <c r="P129" s="4"/>
    </row>
    <row r="130" spans="2:16" x14ac:dyDescent="0.25">
      <c r="B130" s="3"/>
      <c r="P130" s="4"/>
    </row>
    <row r="131" spans="2:16" ht="15.75" thickBot="1" x14ac:dyDescent="0.3">
      <c r="B131" s="6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8"/>
    </row>
    <row r="133" spans="2:16" ht="15.75" thickBot="1" x14ac:dyDescent="0.3"/>
    <row r="134" spans="2:16" x14ac:dyDescent="0.25">
      <c r="B134" s="13" t="s">
        <v>24</v>
      </c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2"/>
    </row>
    <row r="135" spans="2:16" x14ac:dyDescent="0.25">
      <c r="B135" s="3"/>
      <c r="P135" s="4"/>
    </row>
    <row r="136" spans="2:16" x14ac:dyDescent="0.25">
      <c r="B136" s="3"/>
      <c r="P136" s="4"/>
    </row>
    <row r="137" spans="2:16" x14ac:dyDescent="0.25">
      <c r="B137" s="3"/>
      <c r="P137" s="4"/>
    </row>
    <row r="138" spans="2:16" x14ac:dyDescent="0.25">
      <c r="B138" s="3" t="s">
        <v>91</v>
      </c>
      <c r="P138" s="4"/>
    </row>
    <row r="139" spans="2:16" x14ac:dyDescent="0.25">
      <c r="B139" s="3" t="s">
        <v>47</v>
      </c>
      <c r="C139" s="10">
        <f>ho_1</f>
        <v>161.50135229004354</v>
      </c>
      <c r="D139" t="s">
        <v>29</v>
      </c>
      <c r="P139" s="4"/>
    </row>
    <row r="140" spans="2:16" x14ac:dyDescent="0.25">
      <c r="B140" s="24" t="str">
        <f>B139</f>
        <v>ho2</v>
      </c>
      <c r="C140" s="21">
        <f>ho_2*2.32442</f>
        <v>375.39697329002297</v>
      </c>
      <c r="D140" t="s">
        <v>70</v>
      </c>
      <c r="P140" s="4"/>
    </row>
    <row r="141" spans="2:16" x14ac:dyDescent="0.25">
      <c r="B141" s="24"/>
      <c r="C141" s="21"/>
      <c r="P141" s="4"/>
    </row>
    <row r="142" spans="2:16" x14ac:dyDescent="0.25">
      <c r="B142" s="3"/>
      <c r="P142" s="4"/>
    </row>
    <row r="143" spans="2:16" x14ac:dyDescent="0.25">
      <c r="B143" s="3" t="s">
        <v>48</v>
      </c>
      <c r="P143" s="4"/>
    </row>
    <row r="144" spans="2:16" x14ac:dyDescent="0.25">
      <c r="B144" s="3"/>
      <c r="P144" s="4"/>
    </row>
    <row r="145" spans="2:16" x14ac:dyDescent="0.25">
      <c r="B145" s="3" t="s">
        <v>49</v>
      </c>
      <c r="C145" s="11">
        <f>P_1*M_1/M_2*((2+M_1^2*(Gam-1))/(2+M_2^2*(Gam-1)))^0.5</f>
        <v>100.58111928097914</v>
      </c>
      <c r="D145" t="s">
        <v>1</v>
      </c>
      <c r="P145" s="4"/>
    </row>
    <row r="146" spans="2:16" x14ac:dyDescent="0.25">
      <c r="B146" s="24" t="str">
        <f>B145</f>
        <v>P2</v>
      </c>
      <c r="C146" s="21">
        <f>P_2*6.89476</f>
        <v>693.48267797372375</v>
      </c>
      <c r="D146" t="s">
        <v>69</v>
      </c>
      <c r="P146" s="4"/>
    </row>
    <row r="147" spans="2:16" x14ac:dyDescent="0.25">
      <c r="B147" s="3" t="s">
        <v>50</v>
      </c>
      <c r="C147" s="11">
        <f>T_1*((2+M_1^2*(Gam-1))/(2+M_2^2*(Gam-1)))</f>
        <v>619.9506913120739</v>
      </c>
      <c r="D147" t="s">
        <v>21</v>
      </c>
      <c r="P147" s="4"/>
    </row>
    <row r="148" spans="2:16" x14ac:dyDescent="0.25">
      <c r="B148" s="3" t="s">
        <v>50</v>
      </c>
      <c r="C148" s="11">
        <f>C147-C8</f>
        <v>160.28069131207388</v>
      </c>
      <c r="D148" t="s">
        <v>2</v>
      </c>
      <c r="P148" s="4"/>
    </row>
    <row r="149" spans="2:16" x14ac:dyDescent="0.25">
      <c r="B149" s="24" t="str">
        <f>B148</f>
        <v>T2</v>
      </c>
      <c r="C149" s="21">
        <f>(C148+459.67)/1.8-273.15</f>
        <v>71.267050728929974</v>
      </c>
      <c r="D149" t="s">
        <v>84</v>
      </c>
      <c r="P149" s="4"/>
    </row>
    <row r="150" spans="2:16" x14ac:dyDescent="0.25">
      <c r="B150" s="24"/>
      <c r="C150" s="21"/>
      <c r="P150" s="4"/>
    </row>
    <row r="151" spans="2:16" x14ac:dyDescent="0.25">
      <c r="B151" s="24"/>
      <c r="C151" s="21"/>
      <c r="P151" s="4"/>
    </row>
    <row r="152" spans="2:16" x14ac:dyDescent="0.25">
      <c r="B152" s="24"/>
      <c r="C152" s="21"/>
      <c r="P152" s="4"/>
    </row>
    <row r="153" spans="2:16" x14ac:dyDescent="0.25">
      <c r="B153" s="3" t="s">
        <v>53</v>
      </c>
      <c r="C153" s="9">
        <f>P_2*144/Z/Rg/T_2</f>
        <v>0.43788791866757737</v>
      </c>
      <c r="D153" t="s">
        <v>26</v>
      </c>
      <c r="P153" s="4"/>
    </row>
    <row r="154" spans="2:16" x14ac:dyDescent="0.25">
      <c r="B154" s="24" t="str">
        <f>B153</f>
        <v>rho2</v>
      </c>
      <c r="C154" s="21">
        <f>rho_2*16.01846</f>
        <v>7.014290109659842</v>
      </c>
      <c r="D154" t="s">
        <v>85</v>
      </c>
      <c r="P154" s="4"/>
    </row>
    <row r="155" spans="2:16" x14ac:dyDescent="0.25">
      <c r="B155" s="3" t="s">
        <v>54</v>
      </c>
      <c r="C155" s="11">
        <f>mdot/rho_2/A</f>
        <v>690.84704306196431</v>
      </c>
      <c r="D155" t="s">
        <v>25</v>
      </c>
      <c r="P155" s="4"/>
    </row>
    <row r="156" spans="2:16" x14ac:dyDescent="0.25">
      <c r="B156" s="24" t="str">
        <f>B155</f>
        <v>V2</v>
      </c>
      <c r="C156" s="21">
        <f>V_2/3.28</f>
        <v>210.62409849450134</v>
      </c>
      <c r="D156" t="s">
        <v>86</v>
      </c>
      <c r="P156" s="4"/>
    </row>
    <row r="157" spans="2:16" x14ac:dyDescent="0.25">
      <c r="B157" s="3"/>
      <c r="P157" s="4"/>
    </row>
    <row r="158" spans="2:16" x14ac:dyDescent="0.25">
      <c r="B158" s="3" t="s">
        <v>55</v>
      </c>
      <c r="C158" s="17">
        <f>ho_2-0.5*V_2^2/C10/gc</f>
        <v>151.97000554683626</v>
      </c>
      <c r="D158" t="s">
        <v>29</v>
      </c>
      <c r="P158" s="4"/>
    </row>
    <row r="159" spans="2:16" x14ac:dyDescent="0.25">
      <c r="B159" s="24" t="str">
        <f>B158</f>
        <v>h2</v>
      </c>
      <c r="C159" s="21">
        <f>h_2*2.32442</f>
        <v>353.24212029317715</v>
      </c>
      <c r="D159" t="s">
        <v>70</v>
      </c>
      <c r="P159" s="4"/>
    </row>
    <row r="160" spans="2:16" x14ac:dyDescent="0.25">
      <c r="B160" s="3" t="s">
        <v>78</v>
      </c>
      <c r="C160" s="11">
        <f>V_2/M_2</f>
        <v>1220.6035668339571</v>
      </c>
      <c r="D160" t="s">
        <v>32</v>
      </c>
      <c r="P160" s="4"/>
    </row>
    <row r="161" spans="2:16" x14ac:dyDescent="0.25">
      <c r="B161" s="24" t="str">
        <f>B160</f>
        <v>c2</v>
      </c>
      <c r="C161" s="21">
        <f>c_2/3.28</f>
        <v>372.13523379084057</v>
      </c>
      <c r="D161" t="s">
        <v>87</v>
      </c>
      <c r="P161" s="4"/>
    </row>
    <row r="162" spans="2:16" x14ac:dyDescent="0.25">
      <c r="B162" s="3"/>
      <c r="P162" s="4"/>
    </row>
    <row r="163" spans="2:16" x14ac:dyDescent="0.25">
      <c r="B163" s="3"/>
      <c r="P163" s="4"/>
    </row>
    <row r="164" spans="2:16" x14ac:dyDescent="0.25">
      <c r="B164" s="3"/>
      <c r="P164" s="4"/>
    </row>
    <row r="165" spans="2:16" x14ac:dyDescent="0.25">
      <c r="B165" s="3"/>
      <c r="P165" s="4"/>
    </row>
    <row r="166" spans="2:16" x14ac:dyDescent="0.25">
      <c r="B166" s="3"/>
      <c r="P166" s="4"/>
    </row>
    <row r="167" spans="2:16" ht="15.75" thickBot="1" x14ac:dyDescent="0.3">
      <c r="B167" s="6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8"/>
    </row>
  </sheetData>
  <phoneticPr fontId="3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59" r:id="rId4">
          <objectPr defaultSize="0" r:id="rId5">
            <anchor moveWithCells="1" sizeWithCells="1">
              <from>
                <xdr:col>4</xdr:col>
                <xdr:colOff>590550</xdr:colOff>
                <xdr:row>152</xdr:row>
                <xdr:rowOff>152400</xdr:rowOff>
              </from>
              <to>
                <xdr:col>6</xdr:col>
                <xdr:colOff>457200</xdr:colOff>
                <xdr:row>154</xdr:row>
                <xdr:rowOff>57150</xdr:rowOff>
              </to>
            </anchor>
          </objectPr>
        </oleObject>
      </mc:Choice>
      <mc:Fallback>
        <oleObject progId="Equation.3" shapeId="1059" r:id="rId4"/>
      </mc:Fallback>
    </mc:AlternateContent>
    <mc:AlternateContent xmlns:mc="http://schemas.openxmlformats.org/markup-compatibility/2006">
      <mc:Choice Requires="x14">
        <oleObject progId="Equation.3" shapeId="1058" r:id="rId6">
          <objectPr defaultSize="0" r:id="rId7">
            <anchor moveWithCells="1" sizeWithCells="1">
              <from>
                <xdr:col>4</xdr:col>
                <xdr:colOff>581025</xdr:colOff>
                <xdr:row>147</xdr:row>
                <xdr:rowOff>38100</xdr:rowOff>
              </from>
              <to>
                <xdr:col>8</xdr:col>
                <xdr:colOff>171450</xdr:colOff>
                <xdr:row>151</xdr:row>
                <xdr:rowOff>57150</xdr:rowOff>
              </to>
            </anchor>
          </objectPr>
        </oleObject>
      </mc:Choice>
      <mc:Fallback>
        <oleObject progId="Equation.3" shapeId="1058" r:id="rId6"/>
      </mc:Fallback>
    </mc:AlternateContent>
    <mc:AlternateContent xmlns:mc="http://schemas.openxmlformats.org/markup-compatibility/2006">
      <mc:Choice Requires="x14">
        <oleObject progId="Equation.3" shapeId="1057" r:id="rId8">
          <objectPr defaultSize="0" r:id="rId9">
            <anchor moveWithCells="1" sizeWithCells="1">
              <from>
                <xdr:col>4</xdr:col>
                <xdr:colOff>561975</xdr:colOff>
                <xdr:row>142</xdr:row>
                <xdr:rowOff>57150</xdr:rowOff>
              </from>
              <to>
                <xdr:col>9</xdr:col>
                <xdr:colOff>152400</xdr:colOff>
                <xdr:row>146</xdr:row>
                <xdr:rowOff>133350</xdr:rowOff>
              </to>
            </anchor>
          </objectPr>
        </oleObject>
      </mc:Choice>
      <mc:Fallback>
        <oleObject progId="Equation.3" shapeId="1057" r:id="rId8"/>
      </mc:Fallback>
    </mc:AlternateContent>
    <mc:AlternateContent xmlns:mc="http://schemas.openxmlformats.org/markup-compatibility/2006">
      <mc:Choice Requires="x14">
        <oleObject progId="Equation.3" shapeId="1035" r:id="rId10">
          <objectPr defaultSize="0" r:id="rId11">
            <anchor moveWithCells="1" sizeWithCells="1">
              <from>
                <xdr:col>5</xdr:col>
                <xdr:colOff>257175</xdr:colOff>
                <xdr:row>126</xdr:row>
                <xdr:rowOff>114300</xdr:rowOff>
              </from>
              <to>
                <xdr:col>7</xdr:col>
                <xdr:colOff>285750</xdr:colOff>
                <xdr:row>130</xdr:row>
                <xdr:rowOff>66675</xdr:rowOff>
              </to>
            </anchor>
          </objectPr>
        </oleObject>
      </mc:Choice>
      <mc:Fallback>
        <oleObject progId="Equation.3" shapeId="1035" r:id="rId10"/>
      </mc:Fallback>
    </mc:AlternateContent>
    <mc:AlternateContent xmlns:mc="http://schemas.openxmlformats.org/markup-compatibility/2006">
      <mc:Choice Requires="x14">
        <oleObject progId="Equation.3" shapeId="1037" r:id="rId12">
          <objectPr defaultSize="0" r:id="rId5">
            <anchor moveWithCells="1" sizeWithCells="1">
              <from>
                <xdr:col>5</xdr:col>
                <xdr:colOff>171450</xdr:colOff>
                <xdr:row>116</xdr:row>
                <xdr:rowOff>19050</xdr:rowOff>
              </from>
              <to>
                <xdr:col>7</xdr:col>
                <xdr:colOff>38100</xdr:colOff>
                <xdr:row>117</xdr:row>
                <xdr:rowOff>114300</xdr:rowOff>
              </to>
            </anchor>
          </objectPr>
        </oleObject>
      </mc:Choice>
      <mc:Fallback>
        <oleObject progId="Equation.3" shapeId="1037" r:id="rId12"/>
      </mc:Fallback>
    </mc:AlternateContent>
    <mc:AlternateContent xmlns:mc="http://schemas.openxmlformats.org/markup-compatibility/2006">
      <mc:Choice Requires="x14">
        <oleObject progId="Equation.3" shapeId="1038" r:id="rId13">
          <objectPr defaultSize="0" r:id="rId14">
            <anchor moveWithCells="1" sizeWithCells="1">
              <from>
                <xdr:col>6</xdr:col>
                <xdr:colOff>600075</xdr:colOff>
                <xdr:row>119</xdr:row>
                <xdr:rowOff>180975</xdr:rowOff>
              </from>
              <to>
                <xdr:col>9</xdr:col>
                <xdr:colOff>104775</xdr:colOff>
                <xdr:row>123</xdr:row>
                <xdr:rowOff>104775</xdr:rowOff>
              </to>
            </anchor>
          </objectPr>
        </oleObject>
      </mc:Choice>
      <mc:Fallback>
        <oleObject progId="Equation.3" shapeId="1038" r:id="rId13"/>
      </mc:Fallback>
    </mc:AlternateContent>
    <mc:AlternateContent xmlns:mc="http://schemas.openxmlformats.org/markup-compatibility/2006">
      <mc:Choice Requires="x14">
        <oleObject progId="Equation.3" shapeId="1039" r:id="rId15">
          <objectPr defaultSize="0" r:id="rId16">
            <anchor moveWithCells="1" sizeWithCells="1">
              <from>
                <xdr:col>5</xdr:col>
                <xdr:colOff>114300</xdr:colOff>
                <xdr:row>107</xdr:row>
                <xdr:rowOff>76200</xdr:rowOff>
              </from>
              <to>
                <xdr:col>9</xdr:col>
                <xdr:colOff>352425</xdr:colOff>
                <xdr:row>112</xdr:row>
                <xdr:rowOff>19050</xdr:rowOff>
              </to>
            </anchor>
          </objectPr>
        </oleObject>
      </mc:Choice>
      <mc:Fallback>
        <oleObject progId="Equation.3" shapeId="1039" r:id="rId15"/>
      </mc:Fallback>
    </mc:AlternateContent>
    <mc:AlternateContent xmlns:mc="http://schemas.openxmlformats.org/markup-compatibility/2006">
      <mc:Choice Requires="x14">
        <oleObject progId="Equation.3" shapeId="1040" r:id="rId17">
          <objectPr defaultSize="0" r:id="rId18">
            <anchor moveWithCells="1" sizeWithCells="1">
              <from>
                <xdr:col>5</xdr:col>
                <xdr:colOff>161925</xdr:colOff>
                <xdr:row>112</xdr:row>
                <xdr:rowOff>85725</xdr:rowOff>
              </from>
              <to>
                <xdr:col>8</xdr:col>
                <xdr:colOff>247650</xdr:colOff>
                <xdr:row>115</xdr:row>
                <xdr:rowOff>133350</xdr:rowOff>
              </to>
            </anchor>
          </objectPr>
        </oleObject>
      </mc:Choice>
      <mc:Fallback>
        <oleObject progId="Equation.3" shapeId="1040" r:id="rId17"/>
      </mc:Fallback>
    </mc:AlternateContent>
    <mc:AlternateContent xmlns:mc="http://schemas.openxmlformats.org/markup-compatibility/2006">
      <mc:Choice Requires="x14">
        <oleObject progId="Equation.3" shapeId="1042" r:id="rId19">
          <objectPr defaultSize="0" r:id="rId20">
            <anchor moveWithCells="1" sizeWithCells="1">
              <from>
                <xdr:col>5</xdr:col>
                <xdr:colOff>190500</xdr:colOff>
                <xdr:row>118</xdr:row>
                <xdr:rowOff>0</xdr:rowOff>
              </from>
              <to>
                <xdr:col>6</xdr:col>
                <xdr:colOff>552450</xdr:colOff>
                <xdr:row>119</xdr:row>
                <xdr:rowOff>95250</xdr:rowOff>
              </to>
            </anchor>
          </objectPr>
        </oleObject>
      </mc:Choice>
      <mc:Fallback>
        <oleObject progId="Equation.3" shapeId="1042" r:id="rId19"/>
      </mc:Fallback>
    </mc:AlternateContent>
    <mc:AlternateContent xmlns:mc="http://schemas.openxmlformats.org/markup-compatibility/2006">
      <mc:Choice Requires="x14">
        <oleObject progId="Equation.3" shapeId="1060" r:id="rId21">
          <objectPr defaultSize="0" r:id="rId20">
            <anchor moveWithCells="1" sizeWithCells="1">
              <from>
                <xdr:col>4</xdr:col>
                <xdr:colOff>600075</xdr:colOff>
                <xdr:row>155</xdr:row>
                <xdr:rowOff>19050</xdr:rowOff>
              </from>
              <to>
                <xdr:col>6</xdr:col>
                <xdr:colOff>352425</xdr:colOff>
                <xdr:row>156</xdr:row>
                <xdr:rowOff>114300</xdr:rowOff>
              </to>
            </anchor>
          </objectPr>
        </oleObject>
      </mc:Choice>
      <mc:Fallback>
        <oleObject progId="Equation.3" shapeId="1060" r:id="rId21"/>
      </mc:Fallback>
    </mc:AlternateContent>
    <mc:AlternateContent xmlns:mc="http://schemas.openxmlformats.org/markup-compatibility/2006">
      <mc:Choice Requires="x14">
        <oleObject progId="Equation.3" shapeId="1061" r:id="rId22">
          <objectPr defaultSize="0" r:id="rId11">
            <anchor moveWithCells="1" sizeWithCells="1">
              <from>
                <xdr:col>5</xdr:col>
                <xdr:colOff>9525</xdr:colOff>
                <xdr:row>157</xdr:row>
                <xdr:rowOff>57150</xdr:rowOff>
              </from>
              <to>
                <xdr:col>7</xdr:col>
                <xdr:colOff>38100</xdr:colOff>
                <xdr:row>161</xdr:row>
                <xdr:rowOff>9525</xdr:rowOff>
              </to>
            </anchor>
          </objectPr>
        </oleObject>
      </mc:Choice>
      <mc:Fallback>
        <oleObject progId="Equation.3" shapeId="1061" r:id="rId22"/>
      </mc:Fallback>
    </mc:AlternateContent>
    <mc:AlternateContent xmlns:mc="http://schemas.openxmlformats.org/markup-compatibility/2006">
      <mc:Choice Requires="x14">
        <oleObject progId="Equation.3" shapeId="1032" r:id="rId23">
          <objectPr defaultSize="0" r:id="rId24">
            <anchor moveWithCells="1" sizeWithCells="1">
              <from>
                <xdr:col>4</xdr:col>
                <xdr:colOff>542925</xdr:colOff>
                <xdr:row>61</xdr:row>
                <xdr:rowOff>85725</xdr:rowOff>
              </from>
              <to>
                <xdr:col>7</xdr:col>
                <xdr:colOff>504825</xdr:colOff>
                <xdr:row>65</xdr:row>
                <xdr:rowOff>9525</xdr:rowOff>
              </to>
            </anchor>
          </objectPr>
        </oleObject>
      </mc:Choice>
      <mc:Fallback>
        <oleObject progId="Equation.3" shapeId="1032" r:id="rId23"/>
      </mc:Fallback>
    </mc:AlternateContent>
    <mc:AlternateContent xmlns:mc="http://schemas.openxmlformats.org/markup-compatibility/2006">
      <mc:Choice Requires="x14">
        <oleObject progId="Equation.3" shapeId="1033" r:id="rId25">
          <objectPr defaultSize="0" r:id="rId26">
            <anchor moveWithCells="1" sizeWithCells="1">
              <from>
                <xdr:col>5</xdr:col>
                <xdr:colOff>228600</xdr:colOff>
                <xdr:row>56</xdr:row>
                <xdr:rowOff>28575</xdr:rowOff>
              </from>
              <to>
                <xdr:col>12</xdr:col>
                <xdr:colOff>381000</xdr:colOff>
                <xdr:row>60</xdr:row>
                <xdr:rowOff>9525</xdr:rowOff>
              </to>
            </anchor>
          </objectPr>
        </oleObject>
      </mc:Choice>
      <mc:Fallback>
        <oleObject progId="Equation.3" shapeId="1033" r:id="rId2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FF9E8-21D2-47FD-93DD-921B1F269E19}">
  <dimension ref="B1:Y76"/>
  <sheetViews>
    <sheetView workbookViewId="0">
      <pane xSplit="5" ySplit="2" topLeftCell="F3" activePane="bottomRight" state="frozen"/>
      <selection pane="topRight" activeCell="G1" sqref="G1"/>
      <selection pane="bottomLeft" activeCell="A3" sqref="A3"/>
      <selection pane="bottomRight" activeCell="F3" sqref="F3"/>
    </sheetView>
  </sheetViews>
  <sheetFormatPr defaultRowHeight="15" x14ac:dyDescent="0.25"/>
  <sheetData>
    <row r="1" spans="2:25" x14ac:dyDescent="0.25">
      <c r="B1" s="35" t="s">
        <v>16</v>
      </c>
      <c r="C1" s="35" t="s">
        <v>116</v>
      </c>
      <c r="D1" s="35" t="s">
        <v>106</v>
      </c>
      <c r="E1" s="35" t="s">
        <v>106</v>
      </c>
      <c r="F1" s="35" t="s">
        <v>107</v>
      </c>
      <c r="G1" s="35" t="s">
        <v>20</v>
      </c>
      <c r="H1" s="35" t="s">
        <v>108</v>
      </c>
      <c r="I1" s="35" t="s">
        <v>108</v>
      </c>
      <c r="J1" s="35" t="s">
        <v>109</v>
      </c>
      <c r="K1" s="35" t="s">
        <v>109</v>
      </c>
      <c r="L1" s="35" t="s">
        <v>68</v>
      </c>
      <c r="M1" s="35" t="s">
        <v>68</v>
      </c>
      <c r="N1" s="35" t="s">
        <v>68</v>
      </c>
      <c r="O1" s="35" t="s">
        <v>68</v>
      </c>
      <c r="P1" s="35" t="s">
        <v>110</v>
      </c>
      <c r="Q1" s="35" t="s">
        <v>110</v>
      </c>
      <c r="R1" s="35" t="s">
        <v>110</v>
      </c>
      <c r="S1" s="35" t="s">
        <v>110</v>
      </c>
      <c r="T1" s="35" t="s">
        <v>111</v>
      </c>
      <c r="U1" s="35" t="s">
        <v>111</v>
      </c>
      <c r="V1" s="35" t="s">
        <v>67</v>
      </c>
      <c r="W1" s="35" t="s">
        <v>67</v>
      </c>
      <c r="X1" s="35" t="s">
        <v>112</v>
      </c>
      <c r="Y1" s="35" t="s">
        <v>112</v>
      </c>
    </row>
    <row r="2" spans="2:25" x14ac:dyDescent="0.25">
      <c r="B2" s="35" t="s">
        <v>117</v>
      </c>
      <c r="C2" s="35" t="s">
        <v>15</v>
      </c>
      <c r="D2" s="35" t="s">
        <v>15</v>
      </c>
      <c r="E2" s="35" t="s">
        <v>58</v>
      </c>
      <c r="F2" s="35"/>
      <c r="G2" s="35" t="s">
        <v>113</v>
      </c>
      <c r="H2" s="35" t="s">
        <v>1</v>
      </c>
      <c r="I2" s="35" t="s">
        <v>69</v>
      </c>
      <c r="J2" s="35" t="s">
        <v>1</v>
      </c>
      <c r="K2" s="35" t="s">
        <v>69</v>
      </c>
      <c r="L2" s="35" t="s">
        <v>21</v>
      </c>
      <c r="M2" s="35" t="s">
        <v>114</v>
      </c>
      <c r="N2" s="35" t="s">
        <v>2</v>
      </c>
      <c r="O2" s="35" t="s">
        <v>84</v>
      </c>
      <c r="P2" s="35" t="s">
        <v>21</v>
      </c>
      <c r="Q2" s="35" t="s">
        <v>114</v>
      </c>
      <c r="R2" s="35" t="s">
        <v>2</v>
      </c>
      <c r="S2" s="35" t="s">
        <v>84</v>
      </c>
      <c r="T2" s="35" t="s">
        <v>115</v>
      </c>
      <c r="U2" s="35" t="s">
        <v>85</v>
      </c>
      <c r="V2" s="35" t="s">
        <v>25</v>
      </c>
      <c r="W2" s="35" t="s">
        <v>86</v>
      </c>
      <c r="X2" s="35" t="s">
        <v>25</v>
      </c>
      <c r="Y2" s="35" t="s">
        <v>86</v>
      </c>
    </row>
    <row r="3" spans="2:25" x14ac:dyDescent="0.25">
      <c r="B3">
        <f t="shared" ref="B3:B17" si="0">A</f>
        <v>8.7266462599716474E-2</v>
      </c>
      <c r="C3">
        <f t="shared" ref="C3:C17" si="1">D/f</f>
        <v>20.833333333333332</v>
      </c>
      <c r="D3">
        <v>0</v>
      </c>
      <c r="E3">
        <f>D3/3.28</f>
        <v>0</v>
      </c>
      <c r="F3">
        <f>M_1</f>
        <v>0.42889137877760247</v>
      </c>
      <c r="G3">
        <f t="shared" ref="G3:G17" si="2">(Gam/Z/Rg)^0.5*F3*(1+F3^2*(Gam-1)/2)^(-(Gam+1)/2/(Gam-1))</f>
        <v>6.2339033132736858E-2</v>
      </c>
      <c r="H3">
        <f>P_1</f>
        <v>134.46705718702663</v>
      </c>
      <c r="I3" s="21">
        <f>H3*6.89476</f>
        <v>927.11808721082366</v>
      </c>
      <c r="J3">
        <f>Po_1</f>
        <v>152.59245444042216</v>
      </c>
      <c r="K3" s="21">
        <f>J3*6.89476</f>
        <v>1052.0883511776451</v>
      </c>
      <c r="L3">
        <f>T_1</f>
        <v>636.26219202860023</v>
      </c>
      <c r="M3">
        <f>L3/1.8</f>
        <v>353.47899557144456</v>
      </c>
      <c r="N3">
        <f>L3-$A$6</f>
        <v>636.26219202860023</v>
      </c>
      <c r="O3">
        <f>M3-$A$7</f>
        <v>353.47899557144456</v>
      </c>
      <c r="P3">
        <f>To_1</f>
        <v>659.67000000000007</v>
      </c>
      <c r="Q3">
        <f>P3/1.8</f>
        <v>366.48333333333335</v>
      </c>
      <c r="R3">
        <f>P3-$A$6</f>
        <v>659.67000000000007</v>
      </c>
      <c r="S3">
        <f>Q3-$A$7</f>
        <v>366.48333333333335</v>
      </c>
      <c r="T3">
        <f>rho_1</f>
        <v>0.57040514042431545</v>
      </c>
      <c r="U3">
        <f>T3*16.01846</f>
        <v>9.1370119256812803</v>
      </c>
      <c r="V3">
        <f t="shared" ref="V3:V17" si="3">(Gam*H3/T3*gc*144)^0.5</f>
        <v>1236.5566789136965</v>
      </c>
      <c r="W3">
        <f>V3/3.28</f>
        <v>376.99898747368798</v>
      </c>
      <c r="X3">
        <f>F3*V3</f>
        <v>530.34849895594834</v>
      </c>
      <c r="Y3">
        <f>X3/3.28</f>
        <v>161.69161553535011</v>
      </c>
    </row>
    <row r="4" spans="2:25" x14ac:dyDescent="0.25">
      <c r="B4">
        <f t="shared" si="0"/>
        <v>8.7266462599716474E-2</v>
      </c>
      <c r="C4">
        <f t="shared" si="1"/>
        <v>20.833333333333332</v>
      </c>
      <c r="D4">
        <f t="shared" ref="D4:D17" si="4">(1/Gam*(1/M_1^2-1/F4^2)+(Gam+1)/2/Gam*LN((M_1^2/F4^2)*(1+F4^2*(Gam-1)/2)/(1+M_1^2*(Gam-1)/2)))*D/f</f>
        <v>2.8511737729538629</v>
      </c>
      <c r="E4">
        <f>D4/3.28</f>
        <v>0.86926029663227533</v>
      </c>
      <c r="F4">
        <f>F3+0.01</f>
        <v>0.43889137877760248</v>
      </c>
      <c r="G4">
        <f t="shared" si="2"/>
        <v>6.3473232710988953E-2</v>
      </c>
      <c r="H4">
        <f t="shared" ref="H4:H17" si="5">J4/(1+(Gam-1)/2*F4^2)^(Gam/(Gam-1))</f>
        <v>131.29345052005561</v>
      </c>
      <c r="I4" s="21">
        <f>H4*6.89476</f>
        <v>905.2368309076586</v>
      </c>
      <c r="J4">
        <f t="shared" ref="J4:J17" si="6">mdot*P4^0.5/A/G4/gc^0.5/144</f>
        <v>149.86582016595273</v>
      </c>
      <c r="K4" s="21">
        <f>J4*6.89476</f>
        <v>1033.2888622474043</v>
      </c>
      <c r="L4">
        <f t="shared" ref="L4:L17" si="7">P4/(1+(Gam-1)/2*F4^2)</f>
        <v>635.19888148485154</v>
      </c>
      <c r="M4">
        <f t="shared" ref="M4:M17" si="8">L4/1.8</f>
        <v>352.8882674915842</v>
      </c>
      <c r="N4">
        <f>L4-$A$6</f>
        <v>635.19888148485154</v>
      </c>
      <c r="O4">
        <f>M4-$A$7</f>
        <v>352.8882674915842</v>
      </c>
      <c r="P4">
        <f>P3</f>
        <v>659.67000000000007</v>
      </c>
      <c r="Q4">
        <f>Q3</f>
        <v>366.48333333333335</v>
      </c>
      <c r="R4">
        <f>P4-$A$6</f>
        <v>659.67000000000007</v>
      </c>
      <c r="S4">
        <f>Q4-$A$7</f>
        <v>366.48333333333335</v>
      </c>
      <c r="T4">
        <f t="shared" ref="T4:T17" si="9">H4/L4/Rg/Z*144</f>
        <v>0.55787510947593744</v>
      </c>
      <c r="U4">
        <f>T4*16.01846</f>
        <v>8.9363001261359258</v>
      </c>
      <c r="V4">
        <f t="shared" si="3"/>
        <v>1235.5229906270615</v>
      </c>
      <c r="W4">
        <f>V4/3.28</f>
        <v>376.68383860581145</v>
      </c>
      <c r="X4">
        <f>F4*V4</f>
        <v>542.2603888677379</v>
      </c>
      <c r="Y4">
        <f>X4/3.28</f>
        <v>165.32328928894449</v>
      </c>
    </row>
    <row r="5" spans="2:25" x14ac:dyDescent="0.25">
      <c r="B5">
        <f t="shared" si="0"/>
        <v>8.7266462599716474E-2</v>
      </c>
      <c r="C5">
        <f t="shared" si="1"/>
        <v>20.833333333333332</v>
      </c>
      <c r="D5">
        <f t="shared" si="4"/>
        <v>5.4806893151363694</v>
      </c>
      <c r="E5">
        <f t="shared" ref="E5:E17" si="10">D5/3.28</f>
        <v>1.6709418643708445</v>
      </c>
      <c r="F5">
        <f t="shared" ref="F5:F16" si="11">F4+0.01</f>
        <v>0.44889137877760249</v>
      </c>
      <c r="G5">
        <f t="shared" si="2"/>
        <v>6.4587607227642091E-2</v>
      </c>
      <c r="H5">
        <f t="shared" si="5"/>
        <v>128.2590173059582</v>
      </c>
      <c r="I5" s="21">
        <f t="shared" ref="I5:I17" si="12">H5*6.89476</f>
        <v>884.31514216042831</v>
      </c>
      <c r="J5">
        <f t="shared" si="6"/>
        <v>147.28008184742922</v>
      </c>
      <c r="K5" s="21">
        <f t="shared" ref="K5:K17" si="13">J5*6.89476</f>
        <v>1015.460817118381</v>
      </c>
      <c r="L5">
        <f t="shared" si="7"/>
        <v>634.11473606832067</v>
      </c>
      <c r="M5">
        <f t="shared" si="8"/>
        <v>352.28596448240035</v>
      </c>
      <c r="N5">
        <f>L5-$A$6</f>
        <v>634.11473606832067</v>
      </c>
      <c r="O5">
        <f>M5-$A$7</f>
        <v>352.28596448240035</v>
      </c>
      <c r="P5">
        <f t="shared" ref="P5:Q17" si="14">P4</f>
        <v>659.67000000000007</v>
      </c>
      <c r="Q5">
        <f t="shared" si="14"/>
        <v>366.48333333333335</v>
      </c>
      <c r="R5">
        <f>P5-$A$6</f>
        <v>659.67000000000007</v>
      </c>
      <c r="S5">
        <f>Q5-$A$7</f>
        <v>366.48333333333335</v>
      </c>
      <c r="T5">
        <f t="shared" si="9"/>
        <v>0.54591334378944634</v>
      </c>
      <c r="U5">
        <f t="shared" ref="U5:U17" si="15">T5*16.01846</f>
        <v>8.7446910609574946</v>
      </c>
      <c r="V5">
        <f t="shared" si="3"/>
        <v>1234.4681567260357</v>
      </c>
      <c r="W5">
        <f t="shared" ref="W5:W17" si="16">V5/3.28</f>
        <v>376.36224290427919</v>
      </c>
      <c r="X5">
        <f t="shared" ref="X5:X17" si="17">F5*V5</f>
        <v>554.14211292979564</v>
      </c>
      <c r="Y5">
        <f t="shared" ref="Y5:Y17" si="18">X5/3.28</f>
        <v>168.94576613713284</v>
      </c>
    </row>
    <row r="6" spans="2:25" x14ac:dyDescent="0.25">
      <c r="B6">
        <f t="shared" si="0"/>
        <v>8.7266462599716474E-2</v>
      </c>
      <c r="C6">
        <f t="shared" si="1"/>
        <v>20.833333333333332</v>
      </c>
      <c r="D6">
        <f t="shared" si="4"/>
        <v>7.9084887767718808</v>
      </c>
      <c r="E6">
        <f t="shared" si="10"/>
        <v>2.4111246270645981</v>
      </c>
      <c r="F6">
        <f t="shared" si="11"/>
        <v>0.4588913787776025</v>
      </c>
      <c r="G6">
        <f t="shared" si="2"/>
        <v>6.5681940990914719E-2</v>
      </c>
      <c r="H6">
        <f t="shared" si="5"/>
        <v>125.35470297730576</v>
      </c>
      <c r="I6" s="21">
        <f t="shared" si="12"/>
        <v>864.29059189980865</v>
      </c>
      <c r="J6">
        <f t="shared" si="6"/>
        <v>144.82623283213456</v>
      </c>
      <c r="K6" s="21">
        <f t="shared" si="13"/>
        <v>998.54211708168805</v>
      </c>
      <c r="L6">
        <f t="shared" si="7"/>
        <v>633.00998711451609</v>
      </c>
      <c r="M6">
        <f t="shared" si="8"/>
        <v>351.67221506362006</v>
      </c>
      <c r="N6">
        <f>L6-$A$6</f>
        <v>633.00998711451609</v>
      </c>
      <c r="O6">
        <f>M6-$A$7</f>
        <v>351.67221506362006</v>
      </c>
      <c r="P6">
        <f t="shared" si="14"/>
        <v>659.67000000000007</v>
      </c>
      <c r="Q6">
        <f t="shared" si="14"/>
        <v>366.48333333333335</v>
      </c>
      <c r="R6">
        <f>P6-$A$6</f>
        <v>659.67000000000007</v>
      </c>
      <c r="S6">
        <f>Q6-$A$7</f>
        <v>366.48333333333335</v>
      </c>
      <c r="T6">
        <f t="shared" si="9"/>
        <v>0.53448278013774331</v>
      </c>
      <c r="U6">
        <f t="shared" si="15"/>
        <v>8.5615910343252359</v>
      </c>
      <c r="V6">
        <f t="shared" si="3"/>
        <v>1233.3923483311257</v>
      </c>
      <c r="W6">
        <f t="shared" si="16"/>
        <v>376.03425253997739</v>
      </c>
      <c r="X6">
        <f t="shared" si="17"/>
        <v>565.99311529941531</v>
      </c>
      <c r="Y6">
        <f t="shared" si="18"/>
        <v>172.55887661567542</v>
      </c>
    </row>
    <row r="7" spans="2:25" x14ac:dyDescent="0.25">
      <c r="B7">
        <f t="shared" si="0"/>
        <v>8.7266462599716474E-2</v>
      </c>
      <c r="C7">
        <f t="shared" si="1"/>
        <v>20.833333333333332</v>
      </c>
      <c r="D7">
        <f t="shared" si="4"/>
        <v>10.152376961685059</v>
      </c>
      <c r="E7">
        <f t="shared" si="10"/>
        <v>3.0952368785625182</v>
      </c>
      <c r="F7">
        <f t="shared" si="11"/>
        <v>0.46889137877760251</v>
      </c>
      <c r="G7">
        <f t="shared" si="2"/>
        <v>6.6756031262063212E-2</v>
      </c>
      <c r="H7">
        <f t="shared" si="5"/>
        <v>122.57219971447458</v>
      </c>
      <c r="I7" s="21">
        <f t="shared" si="12"/>
        <v>845.10589970337071</v>
      </c>
      <c r="J7">
        <f t="shared" si="6"/>
        <v>142.49600970845282</v>
      </c>
      <c r="K7" s="21">
        <f t="shared" si="13"/>
        <v>982.47578789745216</v>
      </c>
      <c r="L7">
        <f t="shared" si="7"/>
        <v>631.88486910398979</v>
      </c>
      <c r="M7">
        <f t="shared" si="8"/>
        <v>351.04714950221654</v>
      </c>
      <c r="N7">
        <f>L7-$A$6</f>
        <v>631.88486910398979</v>
      </c>
      <c r="O7">
        <f>M7-$A$7</f>
        <v>351.04714950221654</v>
      </c>
      <c r="P7">
        <f t="shared" si="14"/>
        <v>659.67000000000007</v>
      </c>
      <c r="Q7">
        <f t="shared" si="14"/>
        <v>366.48333333333335</v>
      </c>
      <c r="R7">
        <f>P7-$A$6</f>
        <v>659.67000000000007</v>
      </c>
      <c r="S7">
        <f>Q7-$A$7</f>
        <v>366.48333333333335</v>
      </c>
      <c r="T7">
        <f t="shared" si="9"/>
        <v>0.52354940661265326</v>
      </c>
      <c r="U7">
        <f t="shared" si="15"/>
        <v>8.386455227848522</v>
      </c>
      <c r="V7">
        <f t="shared" si="3"/>
        <v>1232.2957391502664</v>
      </c>
      <c r="W7">
        <f t="shared" si="16"/>
        <v>375.69992047264219</v>
      </c>
      <c r="X7">
        <f t="shared" si="17"/>
        <v>577.8128481919332</v>
      </c>
      <c r="Y7">
        <f t="shared" si="18"/>
        <v>176.16245371705281</v>
      </c>
    </row>
    <row r="8" spans="2:25" x14ac:dyDescent="0.25">
      <c r="B8">
        <f t="shared" si="0"/>
        <v>8.7266462599716474E-2</v>
      </c>
      <c r="C8">
        <f t="shared" si="1"/>
        <v>20.833333333333332</v>
      </c>
      <c r="D8">
        <f t="shared" si="4"/>
        <v>12.228288360977908</v>
      </c>
      <c r="E8">
        <f t="shared" si="10"/>
        <v>3.7281366954200941</v>
      </c>
      <c r="F8">
        <f t="shared" si="11"/>
        <v>0.47889137877760252</v>
      </c>
      <c r="G8">
        <f t="shared" si="2"/>
        <v>6.7809688253060094E-2</v>
      </c>
      <c r="H8">
        <f t="shared" si="5"/>
        <v>119.90389386368267</v>
      </c>
      <c r="I8" s="21">
        <f t="shared" si="12"/>
        <v>826.70857125556472</v>
      </c>
      <c r="J8">
        <f t="shared" si="6"/>
        <v>140.28184355186829</v>
      </c>
      <c r="K8" s="21">
        <f t="shared" si="13"/>
        <v>967.2096436476794</v>
      </c>
      <c r="L8">
        <f t="shared" si="7"/>
        <v>630.73961954536026</v>
      </c>
      <c r="M8">
        <f t="shared" si="8"/>
        <v>350.41089974742238</v>
      </c>
      <c r="N8">
        <f>L8-$A$6</f>
        <v>630.73961954536026</v>
      </c>
      <c r="O8">
        <f>M8-$A$7</f>
        <v>350.41089974742238</v>
      </c>
      <c r="P8">
        <f t="shared" si="14"/>
        <v>659.67000000000007</v>
      </c>
      <c r="Q8">
        <f t="shared" si="14"/>
        <v>366.48333333333335</v>
      </c>
      <c r="R8">
        <f>P8-$A$6</f>
        <v>659.67000000000007</v>
      </c>
      <c r="S8">
        <f>Q8-$A$7</f>
        <v>366.48333333333335</v>
      </c>
      <c r="T8">
        <f t="shared" si="9"/>
        <v>0.51308205175977051</v>
      </c>
      <c r="U8">
        <f t="shared" si="15"/>
        <v>8.218784322831814</v>
      </c>
      <c r="V8">
        <f t="shared" si="3"/>
        <v>1231.1785054054283</v>
      </c>
      <c r="W8">
        <f t="shared" si="16"/>
        <v>375.35930042848423</v>
      </c>
      <c r="X8">
        <f t="shared" si="17"/>
        <v>589.60077197495355</v>
      </c>
      <c r="Y8">
        <f t="shared" si="18"/>
        <v>179.75633291919317</v>
      </c>
    </row>
    <row r="9" spans="2:25" x14ac:dyDescent="0.25">
      <c r="B9">
        <f t="shared" si="0"/>
        <v>8.7266462599716474E-2</v>
      </c>
      <c r="C9">
        <f t="shared" si="1"/>
        <v>20.833333333333332</v>
      </c>
      <c r="D9">
        <f t="shared" si="4"/>
        <v>14.150516179831197</v>
      </c>
      <c r="E9">
        <f t="shared" si="10"/>
        <v>4.314181762143658</v>
      </c>
      <c r="F9">
        <f t="shared" si="11"/>
        <v>0.48889137877760253</v>
      </c>
      <c r="G9">
        <f t="shared" si="2"/>
        <v>6.8842735110980421E-2</v>
      </c>
      <c r="H9">
        <f t="shared" si="5"/>
        <v>117.3427949360688</v>
      </c>
      <c r="I9" s="21">
        <f t="shared" si="12"/>
        <v>809.05040881340972</v>
      </c>
      <c r="J9">
        <f t="shared" si="6"/>
        <v>138.17678893033261</v>
      </c>
      <c r="K9" s="21">
        <f t="shared" si="13"/>
        <v>952.69579724530001</v>
      </c>
      <c r="L9">
        <f t="shared" si="7"/>
        <v>629.57447885783074</v>
      </c>
      <c r="M9">
        <f t="shared" si="8"/>
        <v>349.76359936546152</v>
      </c>
      <c r="N9">
        <f>L9-$A$6</f>
        <v>629.57447885783074</v>
      </c>
      <c r="O9">
        <f>M9-$A$7</f>
        <v>349.76359936546152</v>
      </c>
      <c r="P9">
        <f t="shared" si="14"/>
        <v>659.67000000000007</v>
      </c>
      <c r="Q9">
        <f t="shared" si="14"/>
        <v>366.48333333333335</v>
      </c>
      <c r="R9">
        <f>P9-$A$6</f>
        <v>659.67000000000007</v>
      </c>
      <c r="S9">
        <f>Q9-$A$7</f>
        <v>366.48333333333335</v>
      </c>
      <c r="T9">
        <f t="shared" si="9"/>
        <v>0.50305209408538398</v>
      </c>
      <c r="U9">
        <f t="shared" si="15"/>
        <v>8.0581198470229598</v>
      </c>
      <c r="V9">
        <f t="shared" si="3"/>
        <v>1230.0408257587292</v>
      </c>
      <c r="W9">
        <f t="shared" si="16"/>
        <v>375.01244687766138</v>
      </c>
      <c r="X9">
        <f t="shared" si="17"/>
        <v>601.35635525792588</v>
      </c>
      <c r="Y9">
        <f t="shared" si="18"/>
        <v>183.34035221278231</v>
      </c>
    </row>
    <row r="10" spans="2:25" x14ac:dyDescent="0.25">
      <c r="B10">
        <f t="shared" si="0"/>
        <v>8.7266462599716474E-2</v>
      </c>
      <c r="C10">
        <f t="shared" si="1"/>
        <v>20.833333333333332</v>
      </c>
      <c r="D10">
        <f t="shared" si="4"/>
        <v>15.931909406787538</v>
      </c>
      <c r="E10">
        <f t="shared" si="10"/>
        <v>4.8572894532888835</v>
      </c>
      <c r="F10">
        <f t="shared" si="11"/>
        <v>0.49889137877760253</v>
      </c>
      <c r="G10">
        <f t="shared" si="2"/>
        <v>6.9855007889328358E-2</v>
      </c>
      <c r="H10">
        <f t="shared" si="5"/>
        <v>114.88247314577475</v>
      </c>
      <c r="I10" s="21">
        <f t="shared" si="12"/>
        <v>792.08708054656188</v>
      </c>
      <c r="J10">
        <f t="shared" si="6"/>
        <v>136.17446144859636</v>
      </c>
      <c r="K10" s="21">
        <f t="shared" si="13"/>
        <v>938.89022981732421</v>
      </c>
      <c r="L10">
        <f t="shared" si="7"/>
        <v>628.38969025330448</v>
      </c>
      <c r="M10">
        <f t="shared" si="8"/>
        <v>349.10538347405804</v>
      </c>
      <c r="N10">
        <f>L10-$A$6</f>
        <v>628.38969025330448</v>
      </c>
      <c r="O10">
        <f>M10-$A$7</f>
        <v>349.10538347405804</v>
      </c>
      <c r="P10">
        <f t="shared" si="14"/>
        <v>659.67000000000007</v>
      </c>
      <c r="Q10">
        <f t="shared" si="14"/>
        <v>366.48333333333335</v>
      </c>
      <c r="R10">
        <f>P10-$A$6</f>
        <v>659.67000000000007</v>
      </c>
      <c r="S10">
        <f>Q10-$A$7</f>
        <v>366.48333333333335</v>
      </c>
      <c r="T10">
        <f t="shared" si="9"/>
        <v>0.49343320650010059</v>
      </c>
      <c r="U10">
        <f t="shared" si="15"/>
        <v>7.9040400809936013</v>
      </c>
      <c r="V10">
        <f t="shared" si="3"/>
        <v>1228.8828812381132</v>
      </c>
      <c r="W10">
        <f t="shared" si="16"/>
        <v>374.6594150116199</v>
      </c>
      <c r="X10">
        <f t="shared" si="17"/>
        <v>613.07907497707504</v>
      </c>
      <c r="Y10">
        <f t="shared" si="18"/>
        <v>186.91435212715703</v>
      </c>
    </row>
    <row r="11" spans="2:25" x14ac:dyDescent="0.25">
      <c r="B11">
        <f t="shared" si="0"/>
        <v>8.7266462599716474E-2</v>
      </c>
      <c r="C11">
        <f t="shared" si="1"/>
        <v>20.833333333333332</v>
      </c>
      <c r="D11">
        <f t="shared" si="4"/>
        <v>17.584042913766073</v>
      </c>
      <c r="E11">
        <f t="shared" si="10"/>
        <v>5.3609886932213637</v>
      </c>
      <c r="F11">
        <f t="shared" si="11"/>
        <v>0.50889137877760249</v>
      </c>
      <c r="G11">
        <f t="shared" si="2"/>
        <v>7.0846355506553202E-2</v>
      </c>
      <c r="H11">
        <f t="shared" si="5"/>
        <v>112.51700431246168</v>
      </c>
      <c r="I11" s="21">
        <f t="shared" si="12"/>
        <v>775.77774065338826</v>
      </c>
      <c r="J11">
        <f t="shared" si="6"/>
        <v>134.26898265693916</v>
      </c>
      <c r="K11" s="21">
        <f t="shared" si="13"/>
        <v>925.75241086375775</v>
      </c>
      <c r="L11">
        <f t="shared" si="7"/>
        <v>627.18549961819349</v>
      </c>
      <c r="M11">
        <f t="shared" si="8"/>
        <v>348.43638867677413</v>
      </c>
      <c r="N11">
        <f>L11-$A$6</f>
        <v>627.18549961819349</v>
      </c>
      <c r="O11">
        <f>M11-$A$7</f>
        <v>348.43638867677413</v>
      </c>
      <c r="P11">
        <f t="shared" si="14"/>
        <v>659.67000000000007</v>
      </c>
      <c r="Q11">
        <f t="shared" si="14"/>
        <v>366.48333333333335</v>
      </c>
      <c r="R11">
        <f>P11-$A$6</f>
        <v>659.67000000000007</v>
      </c>
      <c r="S11">
        <f>Q11-$A$7</f>
        <v>366.48333333333335</v>
      </c>
      <c r="T11">
        <f t="shared" si="9"/>
        <v>0.48420113089348482</v>
      </c>
      <c r="U11">
        <f t="shared" si="15"/>
        <v>7.7561564471720512</v>
      </c>
      <c r="V11">
        <f t="shared" si="3"/>
        <v>1227.7048551626451</v>
      </c>
      <c r="W11">
        <f t="shared" si="16"/>
        <v>374.30026072031865</v>
      </c>
      <c r="X11">
        <f t="shared" si="17"/>
        <v>624.76841647567528</v>
      </c>
      <c r="Y11">
        <f t="shared" si="18"/>
        <v>190.47817575477907</v>
      </c>
    </row>
    <row r="12" spans="2:25" x14ac:dyDescent="0.25">
      <c r="B12">
        <f t="shared" si="0"/>
        <v>8.7266462599716474E-2</v>
      </c>
      <c r="C12">
        <f t="shared" si="1"/>
        <v>20.833333333333332</v>
      </c>
      <c r="D12">
        <f t="shared" si="4"/>
        <v>19.11736471669364</v>
      </c>
      <c r="E12">
        <f t="shared" si="10"/>
        <v>5.8284648526504999</v>
      </c>
      <c r="F12">
        <f t="shared" si="11"/>
        <v>0.5188913787776025</v>
      </c>
      <c r="G12">
        <f t="shared" si="2"/>
        <v>7.1816639692021539E-2</v>
      </c>
      <c r="H12">
        <f t="shared" si="5"/>
        <v>110.24092113478261</v>
      </c>
      <c r="I12" s="21">
        <f t="shared" si="12"/>
        <v>760.08469340325371</v>
      </c>
      <c r="J12">
        <f t="shared" si="6"/>
        <v>132.45493133081698</v>
      </c>
      <c r="K12" s="21">
        <f t="shared" si="13"/>
        <v>913.24496234246362</v>
      </c>
      <c r="L12">
        <f t="shared" si="7"/>
        <v>625.96215539502157</v>
      </c>
      <c r="M12">
        <f t="shared" si="8"/>
        <v>347.75675299723417</v>
      </c>
      <c r="N12">
        <f>L12-$A$6</f>
        <v>625.96215539502157</v>
      </c>
      <c r="O12">
        <f>M12-$A$7</f>
        <v>347.75675299723417</v>
      </c>
      <c r="P12">
        <f t="shared" si="14"/>
        <v>659.67000000000007</v>
      </c>
      <c r="Q12">
        <f t="shared" si="14"/>
        <v>366.48333333333335</v>
      </c>
      <c r="R12">
        <f>P12-$A$6</f>
        <v>659.67000000000007</v>
      </c>
      <c r="S12">
        <f>Q12-$A$7</f>
        <v>366.48333333333335</v>
      </c>
      <c r="T12">
        <f t="shared" si="9"/>
        <v>0.47533347877494636</v>
      </c>
      <c r="U12">
        <f t="shared" si="15"/>
        <v>7.6141103164173281</v>
      </c>
      <c r="V12">
        <f t="shared" si="3"/>
        <v>1226.5069330674835</v>
      </c>
      <c r="W12">
        <f t="shared" si="16"/>
        <v>373.93504056935473</v>
      </c>
      <c r="X12">
        <f t="shared" si="17"/>
        <v>636.42387357967516</v>
      </c>
      <c r="Y12">
        <f t="shared" si="18"/>
        <v>194.03166877429121</v>
      </c>
    </row>
    <row r="13" spans="2:25" x14ac:dyDescent="0.25">
      <c r="B13">
        <f t="shared" si="0"/>
        <v>8.7266462599716474E-2</v>
      </c>
      <c r="C13">
        <f t="shared" si="1"/>
        <v>20.833333333333332</v>
      </c>
      <c r="D13">
        <f t="shared" si="4"/>
        <v>20.541323829216338</v>
      </c>
      <c r="E13">
        <f t="shared" si="10"/>
        <v>6.2625987284196158</v>
      </c>
      <c r="F13">
        <f t="shared" si="11"/>
        <v>0.52889137877760251</v>
      </c>
      <c r="G13">
        <f t="shared" si="2"/>
        <v>7.2765734919727515E-2</v>
      </c>
      <c r="H13">
        <f t="shared" si="5"/>
        <v>108.049169991604</v>
      </c>
      <c r="I13" s="21">
        <f t="shared" si="12"/>
        <v>744.97309529131155</v>
      </c>
      <c r="J13">
        <f t="shared" si="6"/>
        <v>130.72730027822223</v>
      </c>
      <c r="K13" s="21">
        <f t="shared" si="13"/>
        <v>901.33336086627548</v>
      </c>
      <c r="L13">
        <f t="shared" si="7"/>
        <v>624.71990846391748</v>
      </c>
      <c r="M13">
        <f t="shared" si="8"/>
        <v>347.06661581328746</v>
      </c>
      <c r="N13">
        <f>L13-$A$6</f>
        <v>624.71990846391748</v>
      </c>
      <c r="O13">
        <f>M13-$A$7</f>
        <v>347.06661581328746</v>
      </c>
      <c r="P13">
        <f t="shared" si="14"/>
        <v>659.67000000000007</v>
      </c>
      <c r="Q13">
        <f t="shared" si="14"/>
        <v>366.48333333333335</v>
      </c>
      <c r="R13">
        <f>P13-$A$6</f>
        <v>659.67000000000007</v>
      </c>
      <c r="S13">
        <f>Q13-$A$7</f>
        <v>366.48333333333335</v>
      </c>
      <c r="T13">
        <f t="shared" si="9"/>
        <v>0.46680955453094358</v>
      </c>
      <c r="U13">
        <f t="shared" si="15"/>
        <v>7.4775701768717386</v>
      </c>
      <c r="V13">
        <f t="shared" si="3"/>
        <v>1225.2893026285826</v>
      </c>
      <c r="W13">
        <f t="shared" si="16"/>
        <v>373.56381177700689</v>
      </c>
      <c r="X13">
        <f t="shared" si="17"/>
        <v>648.0449486686781</v>
      </c>
      <c r="Y13">
        <f t="shared" si="18"/>
        <v>197.57467947215798</v>
      </c>
    </row>
    <row r="14" spans="2:25" x14ac:dyDescent="0.25">
      <c r="B14">
        <f t="shared" si="0"/>
        <v>8.7266462599716474E-2</v>
      </c>
      <c r="C14">
        <f t="shared" si="1"/>
        <v>20.833333333333332</v>
      </c>
      <c r="D14">
        <f t="shared" si="4"/>
        <v>21.864481572908133</v>
      </c>
      <c r="E14">
        <f t="shared" si="10"/>
        <v>6.6660004795451631</v>
      </c>
      <c r="F14">
        <f t="shared" si="11"/>
        <v>0.53889137877760251</v>
      </c>
      <c r="G14">
        <f t="shared" si="2"/>
        <v>7.3693528330039004E-2</v>
      </c>
      <c r="H14">
        <f t="shared" si="5"/>
        <v>105.93707255294737</v>
      </c>
      <c r="I14" s="21">
        <f t="shared" si="12"/>
        <v>730.41069035515943</v>
      </c>
      <c r="J14">
        <f t="shared" si="6"/>
        <v>129.08145795672618</v>
      </c>
      <c r="K14" s="21">
        <f t="shared" si="13"/>
        <v>889.98567306171742</v>
      </c>
      <c r="L14">
        <f t="shared" si="7"/>
        <v>623.459012024093</v>
      </c>
      <c r="M14">
        <f t="shared" si="8"/>
        <v>346.36611779116276</v>
      </c>
      <c r="N14">
        <f>L14-$A$6</f>
        <v>623.459012024093</v>
      </c>
      <c r="O14">
        <f>M14-$A$7</f>
        <v>346.36611779116276</v>
      </c>
      <c r="P14">
        <f t="shared" si="14"/>
        <v>659.67000000000007</v>
      </c>
      <c r="Q14">
        <f t="shared" si="14"/>
        <v>366.48333333333335</v>
      </c>
      <c r="R14">
        <f>P14-$A$6</f>
        <v>659.67000000000007</v>
      </c>
      <c r="S14">
        <f>Q14-$A$7</f>
        <v>366.48333333333335</v>
      </c>
      <c r="T14">
        <f t="shared" si="9"/>
        <v>0.45861019836072348</v>
      </c>
      <c r="U14">
        <f t="shared" si="15"/>
        <v>7.3462291180333148</v>
      </c>
      <c r="V14">
        <f t="shared" si="3"/>
        <v>1224.0521535871794</v>
      </c>
      <c r="W14">
        <f t="shared" si="16"/>
        <v>373.18663219121328</v>
      </c>
      <c r="X14">
        <f t="shared" si="17"/>
        <v>659.6311527422888</v>
      </c>
      <c r="Y14">
        <f t="shared" si="18"/>
        <v>201.10705876289293</v>
      </c>
    </row>
    <row r="15" spans="2:25" x14ac:dyDescent="0.25">
      <c r="B15">
        <f t="shared" si="0"/>
        <v>8.7266462599716474E-2</v>
      </c>
      <c r="C15">
        <f t="shared" si="1"/>
        <v>20.833333333333332</v>
      </c>
      <c r="D15">
        <f t="shared" si="4"/>
        <v>23.094608741206056</v>
      </c>
      <c r="E15">
        <f t="shared" si="10"/>
        <v>7.0410392503677004</v>
      </c>
      <c r="F15">
        <f t="shared" si="11"/>
        <v>0.54889137877760252</v>
      </c>
      <c r="G15">
        <f t="shared" si="2"/>
        <v>7.4599919639790249E-2</v>
      </c>
      <c r="H15">
        <f t="shared" si="5"/>
        <v>103.90029158727351</v>
      </c>
      <c r="I15" s="21">
        <f t="shared" si="12"/>
        <v>716.36757442426995</v>
      </c>
      <c r="J15">
        <f t="shared" si="6"/>
        <v>127.51311428682773</v>
      </c>
      <c r="K15" s="21">
        <f t="shared" si="13"/>
        <v>879.17231986024831</v>
      </c>
      <c r="L15">
        <f t="shared" si="7"/>
        <v>622.17972147540104</v>
      </c>
      <c r="M15">
        <f t="shared" si="8"/>
        <v>345.65540081966725</v>
      </c>
      <c r="N15">
        <f>L15-$A$6</f>
        <v>622.17972147540104</v>
      </c>
      <c r="O15">
        <f>M15-$A$7</f>
        <v>345.65540081966725</v>
      </c>
      <c r="P15">
        <f t="shared" si="14"/>
        <v>659.67000000000007</v>
      </c>
      <c r="Q15">
        <f t="shared" si="14"/>
        <v>366.48333333333335</v>
      </c>
      <c r="R15">
        <f>P15-$A$6</f>
        <v>659.67000000000007</v>
      </c>
      <c r="S15">
        <f>Q15-$A$7</f>
        <v>366.48333333333335</v>
      </c>
      <c r="T15">
        <f t="shared" si="9"/>
        <v>0.45071764638099865</v>
      </c>
      <c r="U15">
        <f t="shared" si="15"/>
        <v>7.2198025898481717</v>
      </c>
      <c r="V15">
        <f t="shared" si="3"/>
        <v>1222.79567767412</v>
      </c>
      <c r="W15">
        <f t="shared" si="16"/>
        <v>372.80356026650003</v>
      </c>
      <c r="X15">
        <f t="shared" si="17"/>
        <v>671.18200548184063</v>
      </c>
      <c r="Y15">
        <f t="shared" si="18"/>
        <v>204.62866020787826</v>
      </c>
    </row>
    <row r="16" spans="2:25" x14ac:dyDescent="0.25">
      <c r="B16">
        <f t="shared" si="0"/>
        <v>8.7266462599716474E-2</v>
      </c>
      <c r="C16">
        <f t="shared" si="1"/>
        <v>20.833333333333332</v>
      </c>
      <c r="D16">
        <f t="shared" si="4"/>
        <v>24.23877063089358</v>
      </c>
      <c r="E16">
        <f t="shared" si="10"/>
        <v>7.3898690947846282</v>
      </c>
      <c r="F16">
        <f t="shared" si="11"/>
        <v>0.55889137877760253</v>
      </c>
      <c r="G16">
        <f t="shared" si="2"/>
        <v>7.5484821041047173E-2</v>
      </c>
      <c r="H16">
        <f t="shared" si="5"/>
        <v>101.93480043952931</v>
      </c>
      <c r="I16" s="21">
        <f t="shared" si="12"/>
        <v>702.81598467844913</v>
      </c>
      <c r="J16">
        <f t="shared" si="6"/>
        <v>126.01829013602674</v>
      </c>
      <c r="K16" s="21">
        <f t="shared" si="13"/>
        <v>868.86586609827168</v>
      </c>
      <c r="L16">
        <f t="shared" si="7"/>
        <v>620.88229430006697</v>
      </c>
      <c r="M16">
        <f t="shared" si="8"/>
        <v>344.93460794448163</v>
      </c>
      <c r="N16">
        <f>L16-$A$6</f>
        <v>620.88229430006697</v>
      </c>
      <c r="O16">
        <f>M16-$A$7</f>
        <v>344.93460794448163</v>
      </c>
      <c r="P16">
        <f t="shared" si="14"/>
        <v>659.67000000000007</v>
      </c>
      <c r="Q16">
        <f t="shared" si="14"/>
        <v>366.48333333333335</v>
      </c>
      <c r="R16">
        <f>P16-$A$6</f>
        <v>659.67000000000007</v>
      </c>
      <c r="S16">
        <f>Q16-$A$7</f>
        <v>366.48333333333335</v>
      </c>
      <c r="T16">
        <f t="shared" si="9"/>
        <v>0.4431154057491779</v>
      </c>
      <c r="U16">
        <f t="shared" si="15"/>
        <v>7.098026402376977</v>
      </c>
      <c r="V16">
        <f t="shared" si="3"/>
        <v>1221.5200685340787</v>
      </c>
      <c r="W16">
        <f t="shared" si="16"/>
        <v>372.41465504087768</v>
      </c>
      <c r="X16">
        <f t="shared" si="17"/>
        <v>682.69703530752281</v>
      </c>
      <c r="Y16">
        <f t="shared" si="18"/>
        <v>208.13934003278135</v>
      </c>
    </row>
    <row r="17" spans="2:25" x14ac:dyDescent="0.25">
      <c r="B17">
        <f t="shared" si="0"/>
        <v>8.7266462599716474E-2</v>
      </c>
      <c r="C17">
        <f t="shared" si="1"/>
        <v>20.833333333333332</v>
      </c>
      <c r="D17">
        <f t="shared" si="4"/>
        <v>25.002143752726191</v>
      </c>
      <c r="E17">
        <f t="shared" si="10"/>
        <v>7.6226048026604243</v>
      </c>
      <c r="F17">
        <v>0.56598805855852674</v>
      </c>
      <c r="G17">
        <f t="shared" si="2"/>
        <v>7.6099728585336937E-2</v>
      </c>
      <c r="H17">
        <f t="shared" si="5"/>
        <v>100.58114048793875</v>
      </c>
      <c r="I17" s="21">
        <f t="shared" si="12"/>
        <v>693.48282419062059</v>
      </c>
      <c r="J17">
        <f t="shared" si="6"/>
        <v>125.00002635554239</v>
      </c>
      <c r="K17" s="21">
        <f t="shared" si="13"/>
        <v>861.84518171513946</v>
      </c>
      <c r="L17">
        <f t="shared" si="7"/>
        <v>619.95069131207379</v>
      </c>
      <c r="M17">
        <f t="shared" si="8"/>
        <v>344.41705072892989</v>
      </c>
      <c r="N17">
        <f>L17-$A$6</f>
        <v>619.95069131207379</v>
      </c>
      <c r="O17">
        <f>M17-$A$7</f>
        <v>344.41705072892989</v>
      </c>
      <c r="P17">
        <f t="shared" si="14"/>
        <v>659.67000000000007</v>
      </c>
      <c r="Q17">
        <f t="shared" si="14"/>
        <v>366.48333333333335</v>
      </c>
      <c r="R17">
        <f>P17-$A$6</f>
        <v>659.67000000000007</v>
      </c>
      <c r="S17">
        <f>Q17-$A$7</f>
        <v>366.48333333333335</v>
      </c>
      <c r="T17">
        <f t="shared" si="9"/>
        <v>0.43788801099376629</v>
      </c>
      <c r="U17">
        <f t="shared" si="15"/>
        <v>7.0142915885832062</v>
      </c>
      <c r="V17">
        <f t="shared" si="3"/>
        <v>1220.6033094766588</v>
      </c>
      <c r="W17">
        <f t="shared" si="16"/>
        <v>372.13515532824965</v>
      </c>
      <c r="X17">
        <f t="shared" si="17"/>
        <v>690.84689740080671</v>
      </c>
      <c r="Y17">
        <f t="shared" si="18"/>
        <v>210.62405408561182</v>
      </c>
    </row>
    <row r="18" spans="2:25" x14ac:dyDescent="0.25">
      <c r="I18" s="21"/>
      <c r="K18" s="21"/>
    </row>
    <row r="19" spans="2:25" x14ac:dyDescent="0.25">
      <c r="I19" s="21"/>
      <c r="K19" s="21"/>
    </row>
    <row r="20" spans="2:25" x14ac:dyDescent="0.25">
      <c r="I20" s="21"/>
      <c r="K20" s="21"/>
    </row>
    <row r="21" spans="2:25" x14ac:dyDescent="0.25">
      <c r="I21" s="21"/>
      <c r="K21" s="21"/>
    </row>
    <row r="22" spans="2:25" x14ac:dyDescent="0.25">
      <c r="I22" s="21"/>
      <c r="K22" s="21"/>
    </row>
    <row r="23" spans="2:25" x14ac:dyDescent="0.25">
      <c r="I23" s="21"/>
      <c r="K23" s="21"/>
    </row>
    <row r="24" spans="2:25" x14ac:dyDescent="0.25">
      <c r="I24" s="21"/>
      <c r="K24" s="21"/>
    </row>
    <row r="25" spans="2:25" x14ac:dyDescent="0.25">
      <c r="I25" s="21"/>
      <c r="K25" s="21"/>
    </row>
    <row r="26" spans="2:25" x14ac:dyDescent="0.25">
      <c r="I26" s="21"/>
      <c r="K26" s="21"/>
    </row>
    <row r="27" spans="2:25" x14ac:dyDescent="0.25">
      <c r="I27" s="21"/>
      <c r="K27" s="21"/>
    </row>
    <row r="28" spans="2:25" x14ac:dyDescent="0.25">
      <c r="I28" s="21"/>
      <c r="K28" s="21"/>
    </row>
    <row r="29" spans="2:25" x14ac:dyDescent="0.25">
      <c r="I29" s="21"/>
      <c r="K29" s="21"/>
    </row>
    <row r="30" spans="2:25" x14ac:dyDescent="0.25">
      <c r="I30" s="21"/>
      <c r="K30" s="21"/>
    </row>
    <row r="31" spans="2:25" x14ac:dyDescent="0.25">
      <c r="I31" s="21"/>
      <c r="K31" s="21"/>
    </row>
    <row r="32" spans="2:25" x14ac:dyDescent="0.25">
      <c r="I32" s="21"/>
      <c r="K32" s="21"/>
    </row>
    <row r="33" spans="9:11" x14ac:dyDescent="0.25">
      <c r="I33" s="21"/>
      <c r="K33" s="21"/>
    </row>
    <row r="34" spans="9:11" x14ac:dyDescent="0.25">
      <c r="I34" s="21"/>
      <c r="K34" s="21"/>
    </row>
    <row r="35" spans="9:11" x14ac:dyDescent="0.25">
      <c r="I35" s="21"/>
      <c r="K35" s="21"/>
    </row>
    <row r="36" spans="9:11" x14ac:dyDescent="0.25">
      <c r="I36" s="21"/>
      <c r="K36" s="21"/>
    </row>
    <row r="37" spans="9:11" x14ac:dyDescent="0.25">
      <c r="I37" s="21"/>
      <c r="K37" s="21"/>
    </row>
    <row r="38" spans="9:11" x14ac:dyDescent="0.25">
      <c r="I38" s="21"/>
      <c r="K38" s="21"/>
    </row>
    <row r="39" spans="9:11" x14ac:dyDescent="0.25">
      <c r="I39" s="21"/>
      <c r="K39" s="21"/>
    </row>
    <row r="40" spans="9:11" x14ac:dyDescent="0.25">
      <c r="I40" s="21"/>
      <c r="K40" s="21"/>
    </row>
    <row r="41" spans="9:11" x14ac:dyDescent="0.25">
      <c r="I41" s="21"/>
      <c r="K41" s="21"/>
    </row>
    <row r="42" spans="9:11" x14ac:dyDescent="0.25">
      <c r="I42" s="21"/>
      <c r="K42" s="21"/>
    </row>
    <row r="43" spans="9:11" x14ac:dyDescent="0.25">
      <c r="I43" s="21"/>
      <c r="K43" s="21"/>
    </row>
    <row r="44" spans="9:11" x14ac:dyDescent="0.25">
      <c r="I44" s="21"/>
      <c r="K44" s="21"/>
    </row>
    <row r="45" spans="9:11" x14ac:dyDescent="0.25">
      <c r="I45" s="21"/>
      <c r="K45" s="21"/>
    </row>
    <row r="46" spans="9:11" x14ac:dyDescent="0.25">
      <c r="I46" s="21"/>
      <c r="K46" s="21"/>
    </row>
    <row r="47" spans="9:11" x14ac:dyDescent="0.25">
      <c r="I47" s="21"/>
      <c r="K47" s="21"/>
    </row>
    <row r="48" spans="9:11" x14ac:dyDescent="0.25">
      <c r="I48" s="21"/>
      <c r="K48" s="21"/>
    </row>
    <row r="49" spans="9:11" x14ac:dyDescent="0.25">
      <c r="I49" s="21"/>
      <c r="K49" s="21"/>
    </row>
    <row r="50" spans="9:11" x14ac:dyDescent="0.25">
      <c r="I50" s="21"/>
      <c r="K50" s="21"/>
    </row>
    <row r="51" spans="9:11" x14ac:dyDescent="0.25">
      <c r="I51" s="21"/>
      <c r="K51" s="21"/>
    </row>
    <row r="52" spans="9:11" x14ac:dyDescent="0.25">
      <c r="I52" s="21"/>
      <c r="K52" s="21"/>
    </row>
    <row r="53" spans="9:11" x14ac:dyDescent="0.25">
      <c r="I53" s="21"/>
      <c r="K53" s="21"/>
    </row>
    <row r="54" spans="9:11" x14ac:dyDescent="0.25">
      <c r="I54" s="21"/>
      <c r="K54" s="21"/>
    </row>
    <row r="55" spans="9:11" x14ac:dyDescent="0.25">
      <c r="I55" s="21"/>
      <c r="K55" s="21"/>
    </row>
    <row r="56" spans="9:11" x14ac:dyDescent="0.25">
      <c r="I56" s="21"/>
      <c r="K56" s="21"/>
    </row>
    <row r="57" spans="9:11" x14ac:dyDescent="0.25">
      <c r="I57" s="21"/>
      <c r="K57" s="21"/>
    </row>
    <row r="58" spans="9:11" x14ac:dyDescent="0.25">
      <c r="I58" s="21"/>
      <c r="K58" s="21"/>
    </row>
    <row r="59" spans="9:11" x14ac:dyDescent="0.25">
      <c r="I59" s="21"/>
      <c r="K59" s="21"/>
    </row>
    <row r="60" spans="9:11" x14ac:dyDescent="0.25">
      <c r="I60" s="21"/>
      <c r="K60" s="21"/>
    </row>
    <row r="61" spans="9:11" x14ac:dyDescent="0.25">
      <c r="I61" s="21"/>
      <c r="K61" s="21"/>
    </row>
    <row r="62" spans="9:11" x14ac:dyDescent="0.25">
      <c r="I62" s="21"/>
      <c r="K62" s="21"/>
    </row>
    <row r="63" spans="9:11" x14ac:dyDescent="0.25">
      <c r="I63" s="21"/>
      <c r="K63" s="21"/>
    </row>
    <row r="64" spans="9:11" x14ac:dyDescent="0.25">
      <c r="I64" s="21"/>
      <c r="K64" s="21"/>
    </row>
    <row r="65" spans="9:11" x14ac:dyDescent="0.25">
      <c r="I65" s="21"/>
      <c r="K65" s="21"/>
    </row>
    <row r="66" spans="9:11" x14ac:dyDescent="0.25">
      <c r="I66" s="21"/>
      <c r="K66" s="21"/>
    </row>
    <row r="67" spans="9:11" x14ac:dyDescent="0.25">
      <c r="I67" s="21"/>
      <c r="K67" s="21"/>
    </row>
    <row r="68" spans="9:11" x14ac:dyDescent="0.25">
      <c r="I68" s="21"/>
      <c r="K68" s="21"/>
    </row>
    <row r="69" spans="9:11" x14ac:dyDescent="0.25">
      <c r="I69" s="21"/>
      <c r="K69" s="21"/>
    </row>
    <row r="70" spans="9:11" x14ac:dyDescent="0.25">
      <c r="I70" s="21"/>
      <c r="K70" s="21"/>
    </row>
    <row r="71" spans="9:11" x14ac:dyDescent="0.25">
      <c r="I71" s="21"/>
      <c r="K71" s="21"/>
    </row>
    <row r="72" spans="9:11" x14ac:dyDescent="0.25">
      <c r="I72" s="21"/>
      <c r="K72" s="21"/>
    </row>
    <row r="73" spans="9:11" x14ac:dyDescent="0.25">
      <c r="I73" s="21"/>
      <c r="K73" s="21"/>
    </row>
    <row r="74" spans="9:11" x14ac:dyDescent="0.25">
      <c r="I74" s="21"/>
      <c r="K74" s="21"/>
    </row>
    <row r="75" spans="9:11" x14ac:dyDescent="0.25">
      <c r="I75" s="21"/>
      <c r="K75" s="21"/>
    </row>
    <row r="76" spans="9:11" x14ac:dyDescent="0.25">
      <c r="I76" s="21"/>
      <c r="K76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Example 6.2 - Pipe P3</vt:lpstr>
      <vt:lpstr>Graph Data</vt:lpstr>
      <vt:lpstr>A</vt:lpstr>
      <vt:lpstr>c_1</vt:lpstr>
      <vt:lpstr>c_2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2024-04-22T21:48:27Z</dcterms:modified>
</cp:coreProperties>
</file>